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Shared drives\Dauskardt-Lab\Liu_Alan\DuraMAT_Research\Experimental_Data\"/>
    </mc:Choice>
  </mc:AlternateContent>
  <xr:revisionPtr revIDLastSave="0" documentId="13_ncr:1_{FF6AFA80-E5B1-42E0-94F2-70E7A9923B44}" xr6:coauthVersionLast="47" xr6:coauthVersionMax="47" xr10:uidLastSave="{00000000-0000-0000-0000-000000000000}"/>
  <bookViews>
    <workbookView xWindow="8300" yWindow="260" windowWidth="12920" windowHeight="9660" activeTab="1" xr2:uid="{00000000-000D-0000-FFFF-FFFF00000000}"/>
  </bookViews>
  <sheets>
    <sheet name="DataAnalysis_A5" sheetId="2" r:id="rId1"/>
    <sheet name="DataAnalysis_A3" sheetId="4" r:id="rId2"/>
    <sheet name="Results_FirstHeatingCurve" sheetId="1" r:id="rId3"/>
    <sheet name="Results_SecondHeatingCurv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4" l="1"/>
  <c r="C45" i="4"/>
  <c r="B45" i="4"/>
  <c r="D38" i="4"/>
  <c r="C38" i="4"/>
  <c r="B38" i="4"/>
  <c r="D32" i="4"/>
  <c r="C32" i="4"/>
  <c r="B32" i="4"/>
  <c r="D26" i="4"/>
  <c r="C26" i="4"/>
  <c r="B26" i="4"/>
  <c r="D20" i="4"/>
  <c r="C20" i="4"/>
  <c r="B20" i="4"/>
  <c r="D44" i="4" l="1"/>
  <c r="C44" i="4"/>
  <c r="B44" i="4"/>
  <c r="D37" i="4"/>
  <c r="C37" i="4"/>
  <c r="B37" i="4"/>
  <c r="D31" i="4"/>
  <c r="C31" i="4"/>
  <c r="B31" i="4"/>
  <c r="D25" i="4"/>
  <c r="C25" i="4"/>
  <c r="B25" i="4"/>
  <c r="D19" i="4"/>
  <c r="C19" i="4"/>
  <c r="B19" i="4"/>
  <c r="D24" i="4"/>
  <c r="C24" i="4"/>
  <c r="B24" i="4"/>
  <c r="B30" i="4"/>
  <c r="C30" i="4"/>
  <c r="D30" i="4"/>
  <c r="B36" i="4"/>
  <c r="B43" i="4"/>
  <c r="C43" i="4"/>
  <c r="D43" i="4"/>
  <c r="D36" i="4"/>
  <c r="C36" i="4"/>
  <c r="D18" i="4"/>
  <c r="C18" i="4"/>
  <c r="B18" i="4"/>
  <c r="D19" i="2"/>
  <c r="C19" i="2"/>
  <c r="B19" i="2"/>
  <c r="D18" i="2"/>
  <c r="C18" i="2"/>
  <c r="B18" i="2"/>
  <c r="D20" i="2"/>
  <c r="C20" i="2"/>
  <c r="B20" i="2"/>
  <c r="D37" i="2"/>
  <c r="C37" i="2"/>
  <c r="B37" i="2"/>
  <c r="D36" i="2"/>
  <c r="C36" i="2"/>
  <c r="B36" i="2"/>
  <c r="D38" i="2"/>
  <c r="C38" i="2"/>
  <c r="B38" i="2"/>
  <c r="D31" i="2"/>
  <c r="C31" i="2"/>
  <c r="B31" i="2"/>
  <c r="D30" i="2"/>
  <c r="C30" i="2"/>
  <c r="B30" i="2"/>
  <c r="D32" i="2"/>
  <c r="C32" i="2"/>
  <c r="B32" i="2"/>
  <c r="D13" i="4" l="1"/>
  <c r="C13" i="4"/>
  <c r="B13" i="4"/>
  <c r="D12" i="4"/>
  <c r="C12" i="4"/>
  <c r="B12" i="4"/>
  <c r="D14" i="4"/>
  <c r="C14" i="4"/>
  <c r="B14" i="4"/>
  <c r="M43" i="2" l="1"/>
  <c r="F43" i="4"/>
  <c r="Q45" i="4"/>
  <c r="P45" i="4"/>
  <c r="F45" i="4"/>
  <c r="Q44" i="4"/>
  <c r="P44" i="4"/>
  <c r="F44" i="4"/>
  <c r="H44" i="4" s="1"/>
  <c r="E44" i="4"/>
  <c r="Q43" i="4"/>
  <c r="P43" i="4"/>
  <c r="Q38" i="4"/>
  <c r="P38" i="4"/>
  <c r="F38" i="4"/>
  <c r="E38" i="4"/>
  <c r="Q37" i="4"/>
  <c r="S37" i="4" s="1"/>
  <c r="P37" i="4"/>
  <c r="F37" i="4"/>
  <c r="E37" i="4"/>
  <c r="Q36" i="4"/>
  <c r="P36" i="4"/>
  <c r="F36" i="4"/>
  <c r="E36" i="4"/>
  <c r="Q32" i="4"/>
  <c r="S32" i="4" s="1"/>
  <c r="P32" i="4"/>
  <c r="F32" i="4"/>
  <c r="E32" i="4"/>
  <c r="Q31" i="4"/>
  <c r="P31" i="4"/>
  <c r="F31" i="4"/>
  <c r="H31" i="4" s="1"/>
  <c r="E31" i="4"/>
  <c r="S30" i="4"/>
  <c r="Q30" i="4"/>
  <c r="P30" i="4"/>
  <c r="F30" i="4"/>
  <c r="E30" i="4"/>
  <c r="E26" i="4"/>
  <c r="F26" i="4"/>
  <c r="F25" i="4"/>
  <c r="H25" i="4" s="1"/>
  <c r="F24" i="4"/>
  <c r="E24" i="4"/>
  <c r="F20" i="4"/>
  <c r="E20" i="4"/>
  <c r="F19" i="4"/>
  <c r="E19" i="4"/>
  <c r="F18" i="4"/>
  <c r="E18" i="4"/>
  <c r="G18" i="4" s="1"/>
  <c r="P14" i="4"/>
  <c r="Q14" i="4"/>
  <c r="E14" i="4"/>
  <c r="F14" i="4"/>
  <c r="Q13" i="4"/>
  <c r="F13" i="4"/>
  <c r="E13" i="4"/>
  <c r="Q12" i="4"/>
  <c r="S12" i="4" s="1"/>
  <c r="P12" i="4"/>
  <c r="F12" i="4"/>
  <c r="N8" i="4"/>
  <c r="M8" i="4"/>
  <c r="Q8" i="4" s="1"/>
  <c r="C8" i="4"/>
  <c r="B8" i="4"/>
  <c r="F8" i="4" s="1"/>
  <c r="O7" i="4"/>
  <c r="N7" i="4"/>
  <c r="M7" i="4"/>
  <c r="D7" i="4"/>
  <c r="C7" i="4"/>
  <c r="F7" i="4" s="1"/>
  <c r="B7" i="4"/>
  <c r="O6" i="4"/>
  <c r="N6" i="4"/>
  <c r="P6" i="4" s="1"/>
  <c r="R6" i="4" s="1"/>
  <c r="M6" i="4"/>
  <c r="D6" i="4"/>
  <c r="C6" i="4"/>
  <c r="B6" i="4"/>
  <c r="J5" i="4"/>
  <c r="R44" i="4" s="1"/>
  <c r="D25" i="2"/>
  <c r="C25" i="2"/>
  <c r="B25" i="2"/>
  <c r="E25" i="2" s="1"/>
  <c r="D24" i="2"/>
  <c r="C24" i="2"/>
  <c r="B24" i="2"/>
  <c r="E26" i="2"/>
  <c r="E24" i="2"/>
  <c r="D26" i="2"/>
  <c r="C26" i="2"/>
  <c r="B26" i="2"/>
  <c r="D44" i="2"/>
  <c r="C44" i="2"/>
  <c r="B44" i="2"/>
  <c r="D43" i="2"/>
  <c r="C43" i="2"/>
  <c r="B43" i="2"/>
  <c r="D45" i="2"/>
  <c r="C45" i="2"/>
  <c r="B45" i="2"/>
  <c r="O14" i="2"/>
  <c r="N14" i="2"/>
  <c r="M14" i="2"/>
  <c r="D14" i="2"/>
  <c r="C14" i="2"/>
  <c r="B14" i="2"/>
  <c r="O13" i="2"/>
  <c r="N13" i="2"/>
  <c r="M13" i="2"/>
  <c r="D13" i="2"/>
  <c r="C13" i="2"/>
  <c r="B13" i="2"/>
  <c r="O12" i="2"/>
  <c r="N12" i="2"/>
  <c r="M12" i="2"/>
  <c r="D12" i="2"/>
  <c r="C12" i="2"/>
  <c r="B12" i="2"/>
  <c r="F25" i="2"/>
  <c r="H25" i="2" s="1"/>
  <c r="F20" i="2"/>
  <c r="N8" i="2"/>
  <c r="C8" i="2"/>
  <c r="M8" i="2"/>
  <c r="B8" i="2"/>
  <c r="O7" i="2"/>
  <c r="N7" i="2"/>
  <c r="M7" i="2"/>
  <c r="D7" i="2"/>
  <c r="C7" i="2"/>
  <c r="B7" i="2"/>
  <c r="O6" i="2"/>
  <c r="D6" i="2"/>
  <c r="N6" i="2"/>
  <c r="C6" i="2"/>
  <c r="M6" i="2"/>
  <c r="B6" i="2"/>
  <c r="B1" i="3"/>
  <c r="J5" i="2"/>
  <c r="B1" i="1"/>
  <c r="Q6" i="4" l="1"/>
  <c r="S6" i="4" s="1"/>
  <c r="H36" i="4"/>
  <c r="E8" i="4"/>
  <c r="G8" i="4" s="1"/>
  <c r="S13" i="4"/>
  <c r="H19" i="4"/>
  <c r="G30" i="4"/>
  <c r="R36" i="4"/>
  <c r="H38" i="4"/>
  <c r="H7" i="4"/>
  <c r="H30" i="4"/>
  <c r="S31" i="4"/>
  <c r="S36" i="4"/>
  <c r="G37" i="4"/>
  <c r="H32" i="4"/>
  <c r="H37" i="4"/>
  <c r="S38" i="4"/>
  <c r="R45" i="4"/>
  <c r="S45" i="4"/>
  <c r="H43" i="4"/>
  <c r="E6" i="4"/>
  <c r="G6" i="4" s="1"/>
  <c r="S8" i="4"/>
  <c r="H14" i="4"/>
  <c r="G20" i="4"/>
  <c r="R31" i="4"/>
  <c r="R38" i="4"/>
  <c r="G14" i="4"/>
  <c r="H20" i="4"/>
  <c r="G36" i="4"/>
  <c r="S44" i="4"/>
  <c r="H12" i="4"/>
  <c r="S14" i="4"/>
  <c r="G24" i="4"/>
  <c r="R30" i="4"/>
  <c r="R37" i="4"/>
  <c r="H45" i="4"/>
  <c r="Q7" i="4"/>
  <c r="S7" i="4" s="1"/>
  <c r="R12" i="4"/>
  <c r="R14" i="4"/>
  <c r="H24" i="4"/>
  <c r="G32" i="4"/>
  <c r="R43" i="4"/>
  <c r="H8" i="4"/>
  <c r="G13" i="4"/>
  <c r="H18" i="4"/>
  <c r="H26" i="4"/>
  <c r="G31" i="4"/>
  <c r="G38" i="4"/>
  <c r="S43" i="4"/>
  <c r="E7" i="4"/>
  <c r="G7" i="4" s="1"/>
  <c r="H13" i="4"/>
  <c r="G19" i="4"/>
  <c r="G26" i="4"/>
  <c r="R32" i="4"/>
  <c r="G44" i="4"/>
  <c r="E45" i="4"/>
  <c r="G45" i="4" s="1"/>
  <c r="E12" i="4"/>
  <c r="G12" i="4" s="1"/>
  <c r="F6" i="4"/>
  <c r="H6" i="4" s="1"/>
  <c r="P8" i="4"/>
  <c r="R8" i="4" s="1"/>
  <c r="E43" i="4"/>
  <c r="G43" i="4" s="1"/>
  <c r="P7" i="4"/>
  <c r="R7" i="4" s="1"/>
  <c r="P13" i="4"/>
  <c r="R13" i="4" s="1"/>
  <c r="E25" i="4"/>
  <c r="G25" i="4" s="1"/>
  <c r="G25" i="2"/>
  <c r="F44" i="2"/>
  <c r="H44" i="2" s="1"/>
  <c r="F19" i="2"/>
  <c r="H19" i="2" s="1"/>
  <c r="F18" i="2"/>
  <c r="H18" i="2" s="1"/>
  <c r="H20" i="2"/>
  <c r="E20" i="2"/>
  <c r="G20" i="2" s="1"/>
  <c r="E19" i="2"/>
  <c r="G19" i="2" s="1"/>
  <c r="E18" i="2"/>
  <c r="G18" i="2" s="1"/>
  <c r="P43" i="2"/>
  <c r="R43" i="2" s="1"/>
  <c r="E32" i="2"/>
  <c r="G32" i="2" s="1"/>
  <c r="Q14" i="2"/>
  <c r="S14" i="2" s="1"/>
  <c r="F8" i="2"/>
  <c r="H8" i="2" s="1"/>
  <c r="F12" i="2"/>
  <c r="H12" i="2" s="1"/>
  <c r="G24" i="2"/>
  <c r="F26" i="2"/>
  <c r="H26" i="2" s="1"/>
  <c r="P44" i="2"/>
  <c r="R44" i="2" s="1"/>
  <c r="F24" i="2"/>
  <c r="H24" i="2" s="1"/>
  <c r="Q37" i="2"/>
  <c r="S37" i="2" s="1"/>
  <c r="P14" i="2"/>
  <c r="R14" i="2" s="1"/>
  <c r="E45" i="2"/>
  <c r="G45" i="2" s="1"/>
  <c r="Q30" i="2"/>
  <c r="S30" i="2" s="1"/>
  <c r="F31" i="2"/>
  <c r="H31" i="2" s="1"/>
  <c r="F14" i="2"/>
  <c r="H14" i="2" s="1"/>
  <c r="F45" i="2"/>
  <c r="H45" i="2" s="1"/>
  <c r="E30" i="2"/>
  <c r="G30" i="2" s="1"/>
  <c r="F32" i="2"/>
  <c r="H32" i="2" s="1"/>
  <c r="F36" i="2"/>
  <c r="H36" i="2" s="1"/>
  <c r="G26" i="2"/>
  <c r="Q43" i="2"/>
  <c r="S43" i="2" s="1"/>
  <c r="E12" i="2"/>
  <c r="G12" i="2" s="1"/>
  <c r="Q36" i="2"/>
  <c r="S36" i="2" s="1"/>
  <c r="Q13" i="2"/>
  <c r="S13" i="2" s="1"/>
  <c r="F43" i="2"/>
  <c r="H43" i="2" s="1"/>
  <c r="E8" i="2"/>
  <c r="G8" i="2" s="1"/>
  <c r="Q31" i="2"/>
  <c r="S31" i="2" s="1"/>
  <c r="Q44" i="2"/>
  <c r="S44" i="2" s="1"/>
  <c r="E44" i="2"/>
  <c r="G44" i="2" s="1"/>
  <c r="E14" i="2"/>
  <c r="G14" i="2" s="1"/>
  <c r="E6" i="2"/>
  <c r="G6" i="2" s="1"/>
  <c r="Q38" i="2"/>
  <c r="S38" i="2" s="1"/>
  <c r="Q6" i="2"/>
  <c r="S6" i="2" s="1"/>
  <c r="P32" i="2"/>
  <c r="R32" i="2" s="1"/>
  <c r="E7" i="2"/>
  <c r="G7" i="2" s="1"/>
  <c r="Q8" i="2"/>
  <c r="S8" i="2" s="1"/>
  <c r="Q7" i="2"/>
  <c r="S7" i="2" s="1"/>
  <c r="Q12" i="2"/>
  <c r="S12" i="2" s="1"/>
  <c r="P36" i="2"/>
  <c r="R36" i="2" s="1"/>
  <c r="E38" i="2"/>
  <c r="G38" i="2" s="1"/>
  <c r="F13" i="2"/>
  <c r="H13" i="2" s="1"/>
  <c r="P13" i="2"/>
  <c r="R13" i="2" s="1"/>
  <c r="P12" i="2"/>
  <c r="R12" i="2" s="1"/>
  <c r="E13" i="2"/>
  <c r="G13" i="2" s="1"/>
  <c r="F6" i="2"/>
  <c r="H6" i="2" s="1"/>
  <c r="F30" i="2"/>
  <c r="H30" i="2" s="1"/>
  <c r="P31" i="2"/>
  <c r="R31" i="2" s="1"/>
  <c r="P7" i="2"/>
  <c r="R7" i="2" s="1"/>
  <c r="F38" i="2"/>
  <c r="H38" i="2" s="1"/>
  <c r="P37" i="2"/>
  <c r="R37" i="2" s="1"/>
  <c r="F7" i="2"/>
  <c r="H7" i="2" s="1"/>
  <c r="Q32" i="2"/>
  <c r="S32" i="2" s="1"/>
  <c r="P38" i="2"/>
  <c r="R38" i="2" s="1"/>
  <c r="P6" i="2"/>
  <c r="R6" i="2" s="1"/>
  <c r="P30" i="2"/>
  <c r="R30" i="2" s="1"/>
  <c r="E36" i="2"/>
  <c r="G36" i="2" s="1"/>
  <c r="E43" i="2"/>
  <c r="G43" i="2" s="1"/>
  <c r="E31" i="2"/>
  <c r="G31" i="2" s="1"/>
  <c r="Q45" i="2"/>
  <c r="S45" i="2" s="1"/>
  <c r="P8" i="2"/>
  <c r="R8" i="2" s="1"/>
  <c r="F37" i="2"/>
  <c r="H37" i="2" s="1"/>
  <c r="E37" i="2"/>
  <c r="G37" i="2" s="1"/>
  <c r="P45" i="2"/>
  <c r="R45" i="2" s="1"/>
</calcChain>
</file>

<file path=xl/sharedStrings.xml><?xml version="1.0" encoding="utf-8"?>
<sst xmlns="http://schemas.openxmlformats.org/spreadsheetml/2006/main" count="516" uniqueCount="52">
  <si>
    <t>EVA, 90 C, 22%RH, oxidative</t>
  </si>
  <si>
    <t>Aging time</t>
  </si>
  <si>
    <t>Tc</t>
  </si>
  <si>
    <t>POE, 90 C, 22%RH, oxidative</t>
  </si>
  <si>
    <t>0 weeks</t>
  </si>
  <si>
    <t>2 weeks</t>
  </si>
  <si>
    <t>4 weeks</t>
  </si>
  <si>
    <t>8 weeks</t>
  </si>
  <si>
    <t>14 weeks</t>
  </si>
  <si>
    <t>20 weeks</t>
  </si>
  <si>
    <t>30 weeks</t>
  </si>
  <si>
    <t>Heat of fusion 100% crystalline PE (J/g)</t>
  </si>
  <si>
    <t>Crystallinity (%)</t>
  </si>
  <si>
    <t>Tracy, Dagmar et. al</t>
  </si>
  <si>
    <t>1 weeks</t>
  </si>
  <si>
    <t>Heat of fusion (J/g)</t>
  </si>
  <si>
    <t>Trial 1</t>
  </si>
  <si>
    <t>Trial 2</t>
  </si>
  <si>
    <t>Trial 3</t>
  </si>
  <si>
    <t>Average</t>
  </si>
  <si>
    <t>Std. dev</t>
  </si>
  <si>
    <t>Heats of fusion</t>
  </si>
  <si>
    <t>Unaged samples</t>
  </si>
  <si>
    <t>EVA 5x cured</t>
  </si>
  <si>
    <t>POE 5x cured</t>
  </si>
  <si>
    <t>EPE 5x cured</t>
  </si>
  <si>
    <t>EPE, 90 C, 22%RH, oxidative</t>
  </si>
  <si>
    <t>EVA, 90 C, inert</t>
  </si>
  <si>
    <t>POE, 90 C, inert</t>
  </si>
  <si>
    <t>EPE, 90 C, inert</t>
  </si>
  <si>
    <t>Tracy, Dagmar</t>
  </si>
  <si>
    <t>A5 aging</t>
  </si>
  <si>
    <t>A3 aging</t>
  </si>
  <si>
    <t>500 hrs</t>
  </si>
  <si>
    <t>EVA A5</t>
  </si>
  <si>
    <t>SECOND HEATING CURVE CRYSTALLINITY</t>
  </si>
  <si>
    <t>FIRST HEATING CURVE CRYSTALLINITY</t>
  </si>
  <si>
    <t>1000 hrs</t>
  </si>
  <si>
    <t>POE A5</t>
  </si>
  <si>
    <t>EPE A5</t>
  </si>
  <si>
    <t>2000 hrs</t>
  </si>
  <si>
    <t>3000 hrs</t>
  </si>
  <si>
    <t>4000 hrs</t>
  </si>
  <si>
    <t>5000 hrs</t>
  </si>
  <si>
    <t>EVA 5x A5</t>
  </si>
  <si>
    <t>POE 5x A5</t>
  </si>
  <si>
    <t>EPE 5x A5</t>
  </si>
  <si>
    <t>EVA 5x A3</t>
  </si>
  <si>
    <t>POE 5x A3</t>
  </si>
  <si>
    <t>EPE 5x A3</t>
  </si>
  <si>
    <t>Note: Integrate from 20 to 85 for A5-aged EVA and EPE samples (melting transition much larger)</t>
  </si>
  <si>
    <t>Integrate A3-aged samples from (30 or 35) C to 85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</si>
</sst>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9DA5-5369-4655-AE34-D6F05294E3A0}">
  <dimension ref="A1:S66"/>
  <sheetViews>
    <sheetView zoomScale="70" zoomScaleNormal="70" workbookViewId="0">
      <selection activeCell="A3" sqref="A3"/>
    </sheetView>
  </sheetViews>
  <sheetFormatPr defaultRowHeight="14.5" x14ac:dyDescent="0.35"/>
  <cols>
    <col min="1" max="1" width="23.90625" style="1" customWidth="1"/>
    <col min="2" max="4" width="8.7265625" style="1"/>
    <col min="5" max="6" width="11.453125" style="1" bestFit="1" customWidth="1"/>
    <col min="7" max="7" width="11.36328125" style="1" bestFit="1" customWidth="1"/>
    <col min="8" max="8" width="11.453125" style="1" bestFit="1" customWidth="1"/>
    <col min="9" max="9" width="8.7265625" style="1"/>
    <col min="10" max="10" width="19.1796875" style="1" customWidth="1"/>
    <col min="11" max="11" width="8.7265625" style="1"/>
    <col min="12" max="12" width="25.54296875" style="1" customWidth="1"/>
    <col min="13" max="13" width="15.08984375" style="1" bestFit="1" customWidth="1"/>
    <col min="14" max="14" width="8.36328125" style="1" customWidth="1"/>
    <col min="15" max="15" width="6.7265625" style="1" bestFit="1" customWidth="1"/>
    <col min="16" max="16384" width="8.7265625" style="1"/>
  </cols>
  <sheetData>
    <row r="1" spans="1:19" x14ac:dyDescent="0.35">
      <c r="A1" t="s">
        <v>31</v>
      </c>
      <c r="L1"/>
    </row>
    <row r="2" spans="1:19" x14ac:dyDescent="0.35">
      <c r="A2" t="s">
        <v>50</v>
      </c>
      <c r="L2"/>
    </row>
    <row r="3" spans="1:19" x14ac:dyDescent="0.35">
      <c r="A3"/>
    </row>
    <row r="4" spans="1:19" ht="29" x14ac:dyDescent="0.35">
      <c r="A4" s="3" t="s">
        <v>36</v>
      </c>
      <c r="B4" s="1" t="s">
        <v>21</v>
      </c>
      <c r="G4" s="1" t="s">
        <v>12</v>
      </c>
      <c r="J4" s="1" t="s">
        <v>11</v>
      </c>
      <c r="L4" s="3" t="s">
        <v>35</v>
      </c>
      <c r="M4" s="1" t="s">
        <v>21</v>
      </c>
      <c r="R4" s="1" t="s">
        <v>12</v>
      </c>
    </row>
    <row r="5" spans="1:19" x14ac:dyDescent="0.35">
      <c r="A5" s="4" t="s">
        <v>22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19</v>
      </c>
      <c r="H5" s="1" t="s">
        <v>20</v>
      </c>
      <c r="J5" s="1">
        <f xml:space="preserve"> 290</f>
        <v>290</v>
      </c>
      <c r="L5" s="4" t="s">
        <v>22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19</v>
      </c>
      <c r="S5" s="1" t="s">
        <v>20</v>
      </c>
    </row>
    <row r="6" spans="1:19" x14ac:dyDescent="0.35">
      <c r="A6" s="1" t="s">
        <v>23</v>
      </c>
      <c r="B6" s="1">
        <f xml:space="preserve"> 31.456</f>
        <v>31.456</v>
      </c>
      <c r="C6" s="1">
        <f xml:space="preserve"> 30.06</f>
        <v>30.06</v>
      </c>
      <c r="D6" s="1">
        <f xml:space="preserve"> 30.008</f>
        <v>30.007999999999999</v>
      </c>
      <c r="E6" s="1">
        <f xml:space="preserve"> AVERAGE(B6:D6)</f>
        <v>30.507999999999999</v>
      </c>
      <c r="F6" s="1">
        <f xml:space="preserve"> _xlfn.STDEV.S(B6:D6)</f>
        <v>0.82140367664139446</v>
      </c>
      <c r="G6" s="1">
        <f xml:space="preserve"> E6/$J$5 * 100</f>
        <v>10.52</v>
      </c>
      <c r="H6" s="1">
        <f xml:space="preserve"> F6/$J$5 * 100</f>
        <v>0.28324264711772223</v>
      </c>
      <c r="J6" s="1" t="s">
        <v>13</v>
      </c>
      <c r="L6" s="1" t="s">
        <v>23</v>
      </c>
      <c r="M6" s="1">
        <f xml:space="preserve"> 12.229</f>
        <v>12.228999999999999</v>
      </c>
      <c r="N6" s="1">
        <f xml:space="preserve"> 11.883</f>
        <v>11.882999999999999</v>
      </c>
      <c r="O6" s="1">
        <f xml:space="preserve"> 12.111</f>
        <v>12.111000000000001</v>
      </c>
      <c r="P6" s="1">
        <f xml:space="preserve"> AVERAGE(M6:O6)</f>
        <v>12.074333333333334</v>
      </c>
      <c r="Q6" s="1">
        <f xml:space="preserve"> _xlfn.STDEV.S(M6:O6)</f>
        <v>0.17589011721337103</v>
      </c>
      <c r="R6" s="1">
        <f xml:space="preserve"> P6/$J$5 * 100</f>
        <v>4.1635632183908049</v>
      </c>
      <c r="S6" s="1">
        <f xml:space="preserve"> Q6/$J$5 * 100</f>
        <v>6.0651764556334829E-2</v>
      </c>
    </row>
    <row r="7" spans="1:19" x14ac:dyDescent="0.35">
      <c r="A7" s="1" t="s">
        <v>24</v>
      </c>
      <c r="B7" s="1">
        <f xml:space="preserve"> 26.877</f>
        <v>26.876999999999999</v>
      </c>
      <c r="C7" s="1">
        <f xml:space="preserve"> 25.126</f>
        <v>25.126000000000001</v>
      </c>
      <c r="D7" s="1">
        <f xml:space="preserve"> 25.375</f>
        <v>25.375</v>
      </c>
      <c r="E7" s="1">
        <f t="shared" ref="E7:E8" si="0" xml:space="preserve"> AVERAGE(B7:D7)</f>
        <v>25.792666666666666</v>
      </c>
      <c r="F7" s="1">
        <f t="shared" ref="F7:F8" si="1" xml:space="preserve"> _xlfn.STDEV.S(B7:D7)</f>
        <v>0.94727732651707197</v>
      </c>
      <c r="G7" s="1">
        <f t="shared" ref="G7:G8" si="2" xml:space="preserve"> E7/$J$5 * 100</f>
        <v>8.8940229885057462</v>
      </c>
      <c r="H7" s="1">
        <f t="shared" ref="H7:H8" si="3" xml:space="preserve"> F7/$J$5 * 100</f>
        <v>0.32664735397140415</v>
      </c>
      <c r="L7" s="1" t="s">
        <v>24</v>
      </c>
      <c r="M7" s="1">
        <f xml:space="preserve"> 9.8526</f>
        <v>9.8526000000000007</v>
      </c>
      <c r="N7" s="1">
        <f xml:space="preserve"> 9.3871</f>
        <v>9.3871000000000002</v>
      </c>
      <c r="O7" s="1">
        <f xml:space="preserve"> 9.4634</f>
        <v>9.4634</v>
      </c>
      <c r="P7" s="1">
        <f t="shared" ref="P7:P8" si="4" xml:space="preserve"> AVERAGE(M7:O7)</f>
        <v>9.5677000000000003</v>
      </c>
      <c r="Q7" s="1">
        <f t="shared" ref="Q7:Q8" si="5" xml:space="preserve"> _xlfn.STDEV.S(M7:O7)</f>
        <v>0.24966263236615957</v>
      </c>
      <c r="R7" s="1">
        <f t="shared" ref="R7:R8" si="6" xml:space="preserve"> P7/$J$5 * 100</f>
        <v>3.2992068965517243</v>
      </c>
      <c r="S7" s="1">
        <f t="shared" ref="S7:S8" si="7" xml:space="preserve"> Q7/$J$5 * 100</f>
        <v>8.6090562884882607E-2</v>
      </c>
    </row>
    <row r="8" spans="1:19" x14ac:dyDescent="0.35">
      <c r="A8" s="1" t="s">
        <v>25</v>
      </c>
      <c r="B8" s="1">
        <f xml:space="preserve"> 27.019</f>
        <v>27.018999999999998</v>
      </c>
      <c r="C8" s="1">
        <f xml:space="preserve"> 26.386</f>
        <v>26.385999999999999</v>
      </c>
      <c r="E8" s="1">
        <f t="shared" si="0"/>
        <v>26.702500000000001</v>
      </c>
      <c r="F8" s="1">
        <f t="shared" si="1"/>
        <v>0.44759859249108397</v>
      </c>
      <c r="G8" s="1">
        <f t="shared" si="2"/>
        <v>9.2077586206896562</v>
      </c>
      <c r="H8" s="1">
        <f t="shared" si="3"/>
        <v>0.15434434223830482</v>
      </c>
      <c r="L8" s="1" t="s">
        <v>25</v>
      </c>
      <c r="M8" s="1">
        <f xml:space="preserve"> 11.547</f>
        <v>11.547000000000001</v>
      </c>
      <c r="N8" s="1">
        <f xml:space="preserve"> 11.054</f>
        <v>11.054</v>
      </c>
      <c r="P8" s="1">
        <f t="shared" si="4"/>
        <v>11.3005</v>
      </c>
      <c r="Q8" s="1">
        <f t="shared" si="5"/>
        <v>0.34860364312496817</v>
      </c>
      <c r="R8" s="1">
        <f t="shared" si="6"/>
        <v>3.8967241379310344</v>
      </c>
      <c r="S8" s="1">
        <f t="shared" si="7"/>
        <v>0.12020815280171315</v>
      </c>
    </row>
    <row r="10" spans="1:19" ht="29" x14ac:dyDescent="0.35">
      <c r="B10" s="1" t="s">
        <v>21</v>
      </c>
      <c r="G10" s="1" t="s">
        <v>12</v>
      </c>
      <c r="M10" s="1" t="s">
        <v>21</v>
      </c>
      <c r="R10" s="1" t="s">
        <v>12</v>
      </c>
    </row>
    <row r="11" spans="1:19" x14ac:dyDescent="0.35">
      <c r="A11" s="4" t="s">
        <v>33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19</v>
      </c>
      <c r="H11" s="1" t="s">
        <v>20</v>
      </c>
      <c r="L11" s="4" t="s">
        <v>33</v>
      </c>
      <c r="M11" s="1" t="s">
        <v>16</v>
      </c>
      <c r="N11" s="1" t="s">
        <v>17</v>
      </c>
      <c r="O11" s="1" t="s">
        <v>18</v>
      </c>
      <c r="P11" s="1" t="s">
        <v>19</v>
      </c>
      <c r="Q11" s="1" t="s">
        <v>20</v>
      </c>
      <c r="R11" s="1" t="s">
        <v>19</v>
      </c>
      <c r="S11" s="1" t="s">
        <v>20</v>
      </c>
    </row>
    <row r="12" spans="1:19" x14ac:dyDescent="0.35">
      <c r="A12" s="1" t="s">
        <v>44</v>
      </c>
      <c r="B12" s="1">
        <f xml:space="preserve"> 32.888</f>
        <v>32.887999999999998</v>
      </c>
      <c r="C12" s="1">
        <f xml:space="preserve"> 33.126</f>
        <v>33.125999999999998</v>
      </c>
      <c r="D12" s="1">
        <f xml:space="preserve"> 34.139</f>
        <v>34.139000000000003</v>
      </c>
      <c r="E12" s="1">
        <f xml:space="preserve"> AVERAGE(B12:D12)</f>
        <v>33.384333333333331</v>
      </c>
      <c r="F12" s="1">
        <f xml:space="preserve"> _xlfn.STDEV.S(B12:D12)</f>
        <v>0.66430590343104512</v>
      </c>
      <c r="G12" s="1">
        <f t="shared" ref="G12:H14" si="8" xml:space="preserve"> E12/$J$5 * 100</f>
        <v>11.511839080459769</v>
      </c>
      <c r="H12" s="1">
        <f t="shared" si="8"/>
        <v>0.22907100118311902</v>
      </c>
      <c r="L12" s="1" t="s">
        <v>34</v>
      </c>
      <c r="M12" s="1">
        <f xml:space="preserve"> 11.76</f>
        <v>11.76</v>
      </c>
      <c r="N12" s="1">
        <f xml:space="preserve"> 11.273</f>
        <v>11.273</v>
      </c>
      <c r="O12" s="1">
        <f xml:space="preserve"> 11.862</f>
        <v>11.862</v>
      </c>
      <c r="P12" s="1">
        <f xml:space="preserve"> AVERAGE(M12:O12)</f>
        <v>11.631666666666668</v>
      </c>
      <c r="Q12" s="1">
        <f xml:space="preserve"> _xlfn.STDEV.S(M12:O12)</f>
        <v>0.31477346351516583</v>
      </c>
      <c r="R12" s="1">
        <f t="shared" ref="R12:S14" si="9" xml:space="preserve"> P12/$J$5 * 100</f>
        <v>4.0109195402298852</v>
      </c>
      <c r="S12" s="1">
        <f t="shared" si="9"/>
        <v>0.10854257362591926</v>
      </c>
    </row>
    <row r="13" spans="1:19" x14ac:dyDescent="0.35">
      <c r="A13" s="1" t="s">
        <v>45</v>
      </c>
      <c r="B13" s="1">
        <f xml:space="preserve"> 28.28</f>
        <v>28.28</v>
      </c>
      <c r="C13" s="1">
        <f xml:space="preserve"> 27.427</f>
        <v>27.427</v>
      </c>
      <c r="D13" s="1">
        <f xml:space="preserve"> 27.703</f>
        <v>27.702999999999999</v>
      </c>
      <c r="E13" s="1">
        <f xml:space="preserve"> AVERAGE(B13:D13)</f>
        <v>27.803333333333331</v>
      </c>
      <c r="F13" s="1">
        <f xml:space="preserve"> _xlfn.STDEV.S(B13:D13)</f>
        <v>0.43526122424738695</v>
      </c>
      <c r="G13" s="1">
        <f t="shared" si="8"/>
        <v>9.5873563218390796</v>
      </c>
      <c r="H13" s="1">
        <f t="shared" si="8"/>
        <v>0.15009007732668514</v>
      </c>
      <c r="L13" s="1" t="s">
        <v>38</v>
      </c>
      <c r="M13" s="1">
        <f xml:space="preserve"> 9.7529</f>
        <v>9.7529000000000003</v>
      </c>
      <c r="N13" s="1">
        <f xml:space="preserve"> 9.1971</f>
        <v>9.1971000000000007</v>
      </c>
      <c r="O13" s="1">
        <f xml:space="preserve"> 9.4823</f>
        <v>9.4823000000000004</v>
      </c>
      <c r="P13" s="1">
        <f xml:space="preserve"> AVERAGE(M13:O13)</f>
        <v>9.4774333333333356</v>
      </c>
      <c r="Q13" s="1">
        <f xml:space="preserve"> _xlfn.STDEV.S(M13:O13)</f>
        <v>0.2779319581000595</v>
      </c>
      <c r="R13" s="1">
        <f t="shared" si="9"/>
        <v>3.2680804597701161</v>
      </c>
      <c r="S13" s="1">
        <f t="shared" si="9"/>
        <v>9.5838606241399824E-2</v>
      </c>
    </row>
    <row r="14" spans="1:19" x14ac:dyDescent="0.35">
      <c r="A14" s="1" t="s">
        <v>46</v>
      </c>
      <c r="B14" s="1">
        <f xml:space="preserve"> 28.997</f>
        <v>28.997</v>
      </c>
      <c r="C14" s="1">
        <f xml:space="preserve"> 29</f>
        <v>29</v>
      </c>
      <c r="D14" s="1">
        <f xml:space="preserve"> 27.291</f>
        <v>27.291</v>
      </c>
      <c r="E14" s="1">
        <f xml:space="preserve"> AVERAGE(B14:D14)</f>
        <v>28.429333333333332</v>
      </c>
      <c r="F14" s="1">
        <f xml:space="preserve"> _xlfn.STDEV.S(B14:D14)</f>
        <v>0.98582672581612074</v>
      </c>
      <c r="G14" s="1">
        <f t="shared" si="8"/>
        <v>9.8032183908045969</v>
      </c>
      <c r="H14" s="1">
        <f t="shared" si="8"/>
        <v>0.33994025028142094</v>
      </c>
      <c r="L14" s="1" t="s">
        <v>39</v>
      </c>
      <c r="M14" s="1">
        <f xml:space="preserve"> 9.6389</f>
        <v>9.6388999999999996</v>
      </c>
      <c r="N14" s="1">
        <f xml:space="preserve"> 9.6115</f>
        <v>9.6114999999999995</v>
      </c>
      <c r="O14" s="1">
        <f xml:space="preserve"> 9.6079</f>
        <v>9.6079000000000008</v>
      </c>
      <c r="P14" s="1">
        <f xml:space="preserve"> AVERAGE(M14:O14)</f>
        <v>9.6194333333333333</v>
      </c>
      <c r="Q14" s="1">
        <f xml:space="preserve"> _xlfn.STDEV.S(M14:O14)</f>
        <v>1.695444877704139E-2</v>
      </c>
      <c r="R14" s="1">
        <f t="shared" si="9"/>
        <v>3.3170459770114942</v>
      </c>
      <c r="S14" s="1">
        <f t="shared" si="9"/>
        <v>5.8463616472556514E-3</v>
      </c>
    </row>
    <row r="16" spans="1:19" ht="29" x14ac:dyDescent="0.35">
      <c r="B16" s="1" t="s">
        <v>21</v>
      </c>
      <c r="G16" s="1" t="s">
        <v>12</v>
      </c>
      <c r="M16" s="1" t="s">
        <v>21</v>
      </c>
      <c r="R16" s="1" t="s">
        <v>12</v>
      </c>
    </row>
    <row r="17" spans="1:19" x14ac:dyDescent="0.35">
      <c r="A17" s="4" t="s">
        <v>37</v>
      </c>
      <c r="B17" s="1" t="s">
        <v>16</v>
      </c>
      <c r="C17" s="1" t="s">
        <v>17</v>
      </c>
      <c r="D17" s="1" t="s">
        <v>18</v>
      </c>
      <c r="E17" s="1" t="s">
        <v>19</v>
      </c>
      <c r="F17" s="1" t="s">
        <v>20</v>
      </c>
      <c r="G17" s="1" t="s">
        <v>19</v>
      </c>
      <c r="H17" s="1" t="s">
        <v>20</v>
      </c>
      <c r="L17" s="1" t="s">
        <v>37</v>
      </c>
      <c r="M17" s="1" t="s">
        <v>16</v>
      </c>
      <c r="N17" s="1" t="s">
        <v>17</v>
      </c>
      <c r="O17" s="1" t="s">
        <v>18</v>
      </c>
      <c r="P17" s="1" t="s">
        <v>19</v>
      </c>
      <c r="Q17" s="1" t="s">
        <v>20</v>
      </c>
      <c r="R17" s="1" t="s">
        <v>19</v>
      </c>
      <c r="S17" s="1" t="s">
        <v>20</v>
      </c>
    </row>
    <row r="18" spans="1:19" x14ac:dyDescent="0.35">
      <c r="A18" s="1" t="s">
        <v>44</v>
      </c>
      <c r="B18" s="1">
        <f xml:space="preserve"> 43.478</f>
        <v>43.478000000000002</v>
      </c>
      <c r="C18" s="1">
        <f xml:space="preserve"> 41.525</f>
        <v>41.524999999999999</v>
      </c>
      <c r="D18" s="1">
        <f xml:space="preserve"> 39.337</f>
        <v>39.337000000000003</v>
      </c>
      <c r="E18" s="1">
        <f xml:space="preserve"> AVERAGE(B18:D18)</f>
        <v>41.446666666666665</v>
      </c>
      <c r="F18" s="1">
        <f xml:space="preserve"> _xlfn.STDEV.S(B18:D18)</f>
        <v>2.0716110477918699</v>
      </c>
      <c r="G18" s="1">
        <f t="shared" ref="G18:G20" si="10" xml:space="preserve"> E18/$J$5 * 100</f>
        <v>14.291954022988506</v>
      </c>
      <c r="H18" s="1">
        <f t="shared" ref="H18:H20" si="11" xml:space="preserve"> F18/$J$5 * 100</f>
        <v>0.71434863716961028</v>
      </c>
    </row>
    <row r="19" spans="1:19" x14ac:dyDescent="0.35">
      <c r="A19" s="1" t="s">
        <v>45</v>
      </c>
      <c r="B19" s="1">
        <f xml:space="preserve"> 33.861</f>
        <v>33.860999999999997</v>
      </c>
      <c r="C19" s="1">
        <f xml:space="preserve"> 33.891</f>
        <v>33.890999999999998</v>
      </c>
      <c r="D19" s="1">
        <f xml:space="preserve"> 34.072</f>
        <v>34.072000000000003</v>
      </c>
      <c r="E19" s="1">
        <f xml:space="preserve"> AVERAGE(B19:D19)</f>
        <v>33.941333333333333</v>
      </c>
      <c r="F19" s="1">
        <f xml:space="preserve"> _xlfn.STDEV.S(B19:D19)</f>
        <v>0.11415048547130235</v>
      </c>
      <c r="G19" s="1">
        <f t="shared" si="10"/>
        <v>11.703908045977011</v>
      </c>
      <c r="H19" s="1">
        <f t="shared" si="11"/>
        <v>3.9362236369414605E-2</v>
      </c>
    </row>
    <row r="20" spans="1:19" x14ac:dyDescent="0.35">
      <c r="A20" s="1" t="s">
        <v>46</v>
      </c>
      <c r="B20" s="1">
        <f xml:space="preserve"> 37.601</f>
        <v>37.600999999999999</v>
      </c>
      <c r="C20" s="1">
        <f xml:space="preserve"> 35.861</f>
        <v>35.860999999999997</v>
      </c>
      <c r="D20" s="1">
        <f xml:space="preserve"> 35.879</f>
        <v>35.878999999999998</v>
      </c>
      <c r="E20" s="1">
        <f xml:space="preserve"> AVERAGE(B20:D20)</f>
        <v>36.446999999999996</v>
      </c>
      <c r="F20" s="1">
        <f xml:space="preserve"> _xlfn.STDEV.S(B20:D20)</f>
        <v>0.99943383973127597</v>
      </c>
      <c r="G20" s="1">
        <f t="shared" si="10"/>
        <v>12.567931034482758</v>
      </c>
      <c r="H20" s="1">
        <f t="shared" si="11"/>
        <v>0.34463235852802621</v>
      </c>
    </row>
    <row r="22" spans="1:19" ht="29" x14ac:dyDescent="0.35">
      <c r="B22" s="1" t="s">
        <v>21</v>
      </c>
      <c r="G22" s="1" t="s">
        <v>12</v>
      </c>
      <c r="M22" s="1" t="s">
        <v>21</v>
      </c>
      <c r="R22" s="1" t="s">
        <v>12</v>
      </c>
    </row>
    <row r="23" spans="1:19" x14ac:dyDescent="0.35">
      <c r="A23" s="4" t="s">
        <v>40</v>
      </c>
      <c r="B23" s="1" t="s">
        <v>16</v>
      </c>
      <c r="C23" s="1" t="s">
        <v>17</v>
      </c>
      <c r="D23" s="1" t="s">
        <v>18</v>
      </c>
      <c r="E23" s="1" t="s">
        <v>19</v>
      </c>
      <c r="F23" s="1" t="s">
        <v>20</v>
      </c>
      <c r="G23" s="1" t="s">
        <v>19</v>
      </c>
      <c r="H23" s="1" t="s">
        <v>20</v>
      </c>
      <c r="L23" s="4" t="s">
        <v>40</v>
      </c>
      <c r="M23" s="1" t="s">
        <v>16</v>
      </c>
      <c r="N23" s="1" t="s">
        <v>17</v>
      </c>
      <c r="O23" s="1" t="s">
        <v>18</v>
      </c>
      <c r="P23" s="1" t="s">
        <v>19</v>
      </c>
      <c r="Q23" s="1" t="s">
        <v>20</v>
      </c>
      <c r="R23" s="1" t="s">
        <v>19</v>
      </c>
      <c r="S23" s="1" t="s">
        <v>20</v>
      </c>
    </row>
    <row r="24" spans="1:19" x14ac:dyDescent="0.35">
      <c r="A24" s="1" t="s">
        <v>44</v>
      </c>
      <c r="B24" s="1">
        <f xml:space="preserve"> 27.618</f>
        <v>27.617999999999999</v>
      </c>
      <c r="C24" s="1">
        <f xml:space="preserve"> 29.501</f>
        <v>29.501000000000001</v>
      </c>
      <c r="D24" s="1">
        <f xml:space="preserve"> 28.873</f>
        <v>28.873000000000001</v>
      </c>
      <c r="E24" s="1">
        <f xml:space="preserve"> AVERAGE(B24:D24)</f>
        <v>28.664000000000001</v>
      </c>
      <c r="F24" s="1">
        <f xml:space="preserve"> _xlfn.STDEV.S(B24:D24)</f>
        <v>0.95874031937746451</v>
      </c>
      <c r="G24" s="1">
        <f t="shared" ref="G24:H26" si="12" xml:space="preserve"> E24/$J$5 * 100</f>
        <v>9.8841379310344823</v>
      </c>
      <c r="H24" s="1">
        <f t="shared" si="12"/>
        <v>0.33060011013016022</v>
      </c>
      <c r="L24" s="1" t="s">
        <v>34</v>
      </c>
    </row>
    <row r="25" spans="1:19" x14ac:dyDescent="0.35">
      <c r="A25" s="1" t="s">
        <v>45</v>
      </c>
      <c r="B25" s="1">
        <f xml:space="preserve"> 24.323</f>
        <v>24.323</v>
      </c>
      <c r="C25" s="1">
        <f xml:space="preserve"> 24.452</f>
        <v>24.452000000000002</v>
      </c>
      <c r="D25" s="1">
        <f xml:space="preserve"> 24.917</f>
        <v>24.917000000000002</v>
      </c>
      <c r="E25" s="1">
        <f t="shared" ref="E25:E26" si="13" xml:space="preserve"> AVERAGE(B25:D25)</f>
        <v>24.564000000000004</v>
      </c>
      <c r="F25" s="1">
        <f xml:space="preserve"> _xlfn.STDEV.S(B25:D25)</f>
        <v>0.31243719368858802</v>
      </c>
      <c r="G25" s="1">
        <f t="shared" si="12"/>
        <v>8.4703448275862083</v>
      </c>
      <c r="H25" s="1">
        <f t="shared" si="12"/>
        <v>0.10773696334089242</v>
      </c>
      <c r="L25" s="1" t="s">
        <v>38</v>
      </c>
    </row>
    <row r="26" spans="1:19" x14ac:dyDescent="0.35">
      <c r="A26" s="1" t="s">
        <v>46</v>
      </c>
      <c r="B26" s="1">
        <f xml:space="preserve"> 25.318</f>
        <v>25.318000000000001</v>
      </c>
      <c r="C26" s="1">
        <f xml:space="preserve"> 24.845</f>
        <v>24.844999999999999</v>
      </c>
      <c r="D26" s="1">
        <f xml:space="preserve"> 25.414</f>
        <v>25.414000000000001</v>
      </c>
      <c r="E26" s="1">
        <f t="shared" si="13"/>
        <v>25.192333333333334</v>
      </c>
      <c r="F26" s="1">
        <f xml:space="preserve"> _xlfn.STDEV.S(B26:D26)</f>
        <v>0.30460520897275251</v>
      </c>
      <c r="G26" s="1">
        <f t="shared" si="12"/>
        <v>8.6870114942528733</v>
      </c>
      <c r="H26" s="1">
        <f t="shared" si="12"/>
        <v>0.10503627895612154</v>
      </c>
      <c r="L26" s="1" t="s">
        <v>39</v>
      </c>
    </row>
    <row r="28" spans="1:19" ht="29" x14ac:dyDescent="0.35">
      <c r="B28" s="1" t="s">
        <v>21</v>
      </c>
      <c r="G28" s="1" t="s">
        <v>12</v>
      </c>
      <c r="M28" s="1" t="s">
        <v>21</v>
      </c>
      <c r="R28" s="1" t="s">
        <v>12</v>
      </c>
    </row>
    <row r="29" spans="1:19" x14ac:dyDescent="0.35">
      <c r="A29" s="4" t="s">
        <v>41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20</v>
      </c>
      <c r="G29" s="1" t="s">
        <v>19</v>
      </c>
      <c r="H29" s="1" t="s">
        <v>20</v>
      </c>
      <c r="L29" s="4" t="s">
        <v>41</v>
      </c>
      <c r="M29" s="1" t="s">
        <v>16</v>
      </c>
      <c r="N29" s="1" t="s">
        <v>17</v>
      </c>
      <c r="O29" s="1" t="s">
        <v>18</v>
      </c>
      <c r="P29" s="1" t="s">
        <v>19</v>
      </c>
      <c r="Q29" s="1" t="s">
        <v>20</v>
      </c>
      <c r="R29" s="1" t="s">
        <v>19</v>
      </c>
      <c r="S29" s="1" t="s">
        <v>20</v>
      </c>
    </row>
    <row r="30" spans="1:19" x14ac:dyDescent="0.35">
      <c r="A30" s="1" t="s">
        <v>44</v>
      </c>
      <c r="B30" s="1">
        <f xml:space="preserve"> 23.839</f>
        <v>23.838999999999999</v>
      </c>
      <c r="C30" s="1">
        <f xml:space="preserve"> 25.323</f>
        <v>25.323</v>
      </c>
      <c r="D30" s="1">
        <f xml:space="preserve"> 25.586</f>
        <v>25.585999999999999</v>
      </c>
      <c r="E30" s="1">
        <f xml:space="preserve"> AVERAGE(B30:D30)</f>
        <v>24.915999999999997</v>
      </c>
      <c r="F30" s="1">
        <f xml:space="preserve"> _xlfn.STDEV.S(B30:D30)</f>
        <v>0.94193364946794456</v>
      </c>
      <c r="G30" s="1">
        <f xml:space="preserve"> E30/$J$5 * 100</f>
        <v>8.5917241379310347</v>
      </c>
      <c r="H30" s="1">
        <f xml:space="preserve"> F30/$J$5 * 100</f>
        <v>0.32480470671308437</v>
      </c>
      <c r="P30" s="1" t="e">
        <f xml:space="preserve"> AVERAGE(M30:O30)</f>
        <v>#DIV/0!</v>
      </c>
      <c r="Q30" s="1" t="e">
        <f xml:space="preserve"> _xlfn.STDEV.S(M30:O30)</f>
        <v>#DIV/0!</v>
      </c>
      <c r="R30" s="1" t="e">
        <f xml:space="preserve"> P30/$J$5 * 100</f>
        <v>#DIV/0!</v>
      </c>
      <c r="S30" s="1" t="e">
        <f xml:space="preserve"> Q30/$J$5 * 100</f>
        <v>#DIV/0!</v>
      </c>
    </row>
    <row r="31" spans="1:19" x14ac:dyDescent="0.35">
      <c r="A31" s="1" t="s">
        <v>45</v>
      </c>
      <c r="B31" s="1">
        <f xml:space="preserve"> 21.081</f>
        <v>21.081</v>
      </c>
      <c r="C31" s="1">
        <f xml:space="preserve"> 21.855</f>
        <v>21.855</v>
      </c>
      <c r="D31" s="1">
        <f xml:space="preserve"> 21.182</f>
        <v>21.181999999999999</v>
      </c>
      <c r="E31" s="1">
        <f t="shared" ref="E31:E32" si="14" xml:space="preserve"> AVERAGE(B31:D31)</f>
        <v>21.372666666666664</v>
      </c>
      <c r="F31" s="1">
        <f t="shared" ref="F31:F32" si="15" xml:space="preserve"> _xlfn.STDEV.S(B31:D31)</f>
        <v>0.42075448106150209</v>
      </c>
      <c r="G31" s="1">
        <f t="shared" ref="G31:G32" si="16" xml:space="preserve"> E31/$J$5 * 100</f>
        <v>7.3698850574712633</v>
      </c>
      <c r="H31" s="1">
        <f t="shared" ref="H31:H32" si="17" xml:space="preserve"> F31/$J$5 * 100</f>
        <v>0.14508775209017313</v>
      </c>
      <c r="P31" s="1" t="e">
        <f t="shared" ref="P31:P32" si="18" xml:space="preserve"> AVERAGE(M31:O31)</f>
        <v>#DIV/0!</v>
      </c>
      <c r="Q31" s="1" t="e">
        <f t="shared" ref="Q31:Q32" si="19" xml:space="preserve"> _xlfn.STDEV.S(M31:O31)</f>
        <v>#DIV/0!</v>
      </c>
      <c r="R31" s="1" t="e">
        <f t="shared" ref="R31:R32" si="20" xml:space="preserve"> P31/$J$5 * 100</f>
        <v>#DIV/0!</v>
      </c>
      <c r="S31" s="1" t="e">
        <f t="shared" ref="S31:S32" si="21" xml:space="preserve"> Q31/$J$5 * 100</f>
        <v>#DIV/0!</v>
      </c>
    </row>
    <row r="32" spans="1:19" x14ac:dyDescent="0.35">
      <c r="A32" s="1" t="s">
        <v>46</v>
      </c>
      <c r="B32" s="1">
        <f xml:space="preserve"> 20.4</f>
        <v>20.399999999999999</v>
      </c>
      <c r="C32" s="1">
        <f xml:space="preserve"> 22.949</f>
        <v>22.949000000000002</v>
      </c>
      <c r="D32" s="1">
        <f xml:space="preserve"> 20.574</f>
        <v>20.574000000000002</v>
      </c>
      <c r="E32" s="1">
        <f t="shared" si="14"/>
        <v>21.307666666666666</v>
      </c>
      <c r="F32" s="1">
        <f t="shared" si="15"/>
        <v>1.4240963216486926</v>
      </c>
      <c r="G32" s="1">
        <f t="shared" si="16"/>
        <v>7.3474712643678162</v>
      </c>
      <c r="H32" s="1">
        <f t="shared" si="17"/>
        <v>0.49106769712023884</v>
      </c>
      <c r="P32" s="1" t="e">
        <f t="shared" si="18"/>
        <v>#DIV/0!</v>
      </c>
      <c r="Q32" s="1" t="e">
        <f t="shared" si="19"/>
        <v>#DIV/0!</v>
      </c>
      <c r="R32" s="1" t="e">
        <f t="shared" si="20"/>
        <v>#DIV/0!</v>
      </c>
      <c r="S32" s="1" t="e">
        <f t="shared" si="21"/>
        <v>#DIV/0!</v>
      </c>
    </row>
    <row r="34" spans="1:19" ht="29" x14ac:dyDescent="0.35">
      <c r="B34" s="1" t="s">
        <v>21</v>
      </c>
      <c r="G34" s="1" t="s">
        <v>12</v>
      </c>
      <c r="M34" s="1" t="s">
        <v>21</v>
      </c>
      <c r="R34" s="1" t="s">
        <v>12</v>
      </c>
    </row>
    <row r="35" spans="1:19" x14ac:dyDescent="0.35">
      <c r="A35" s="4" t="s">
        <v>42</v>
      </c>
      <c r="B35" s="1" t="s">
        <v>16</v>
      </c>
      <c r="C35" s="1" t="s">
        <v>17</v>
      </c>
      <c r="D35" s="1" t="s">
        <v>18</v>
      </c>
      <c r="E35" s="1" t="s">
        <v>19</v>
      </c>
      <c r="F35" s="1" t="s">
        <v>20</v>
      </c>
      <c r="G35" s="1" t="s">
        <v>19</v>
      </c>
      <c r="H35" s="1" t="s">
        <v>20</v>
      </c>
      <c r="L35" s="4" t="s">
        <v>42</v>
      </c>
      <c r="M35" s="1" t="s">
        <v>16</v>
      </c>
      <c r="N35" s="1" t="s">
        <v>17</v>
      </c>
      <c r="O35" s="1" t="s">
        <v>18</v>
      </c>
      <c r="P35" s="1" t="s">
        <v>19</v>
      </c>
      <c r="Q35" s="1" t="s">
        <v>20</v>
      </c>
      <c r="R35" s="1" t="s">
        <v>19</v>
      </c>
      <c r="S35" s="1" t="s">
        <v>20</v>
      </c>
    </row>
    <row r="36" spans="1:19" x14ac:dyDescent="0.35">
      <c r="A36" s="1" t="s">
        <v>44</v>
      </c>
      <c r="B36" s="1">
        <f xml:space="preserve"> 23.862</f>
        <v>23.861999999999998</v>
      </c>
      <c r="C36" s="1">
        <f xml:space="preserve"> 27.034</f>
        <v>27.033999999999999</v>
      </c>
      <c r="D36" s="1">
        <f xml:space="preserve"> 27.032</f>
        <v>27.032</v>
      </c>
      <c r="E36" s="1">
        <f xml:space="preserve"> AVERAGE(B36:D36)</f>
        <v>25.975999999999999</v>
      </c>
      <c r="F36" s="1">
        <f xml:space="preserve"> _xlfn.STDEV.S(B36:D36)</f>
        <v>1.8307779767082633</v>
      </c>
      <c r="G36" s="1">
        <f xml:space="preserve"> E36/$J$5 * 100</f>
        <v>8.9572413793103447</v>
      </c>
      <c r="H36" s="1">
        <f xml:space="preserve"> F36/$J$5 * 100</f>
        <v>0.63130275058905627</v>
      </c>
      <c r="P36" s="1" t="e">
        <f xml:space="preserve"> AVERAGE(M36:O36)</f>
        <v>#DIV/0!</v>
      </c>
      <c r="Q36" s="1" t="e">
        <f xml:space="preserve"> _xlfn.STDEV.S(M36:O36)</f>
        <v>#DIV/0!</v>
      </c>
      <c r="R36" s="1" t="e">
        <f xml:space="preserve"> P36/$J$5 * 100</f>
        <v>#DIV/0!</v>
      </c>
      <c r="S36" s="1" t="e">
        <f xml:space="preserve"> Q36/$J$5 * 100</f>
        <v>#DIV/0!</v>
      </c>
    </row>
    <row r="37" spans="1:19" x14ac:dyDescent="0.35">
      <c r="A37" s="1" t="s">
        <v>45</v>
      </c>
      <c r="B37" s="1">
        <f xml:space="preserve"> 22.465</f>
        <v>22.465</v>
      </c>
      <c r="C37" s="1">
        <f xml:space="preserve"> 23.047</f>
        <v>23.047000000000001</v>
      </c>
      <c r="D37" s="1">
        <f xml:space="preserve"> 21.086</f>
        <v>21.085999999999999</v>
      </c>
      <c r="E37" s="1">
        <f t="shared" ref="E37:E38" si="22" xml:space="preserve"> AVERAGE(B37:D37)</f>
        <v>22.199333333333332</v>
      </c>
      <c r="F37" s="1">
        <f t="shared" ref="F37:F38" si="23" xml:space="preserve"> _xlfn.STDEV.S(B37:D37)</f>
        <v>1.0071317358386318</v>
      </c>
      <c r="G37" s="1">
        <f t="shared" ref="G37:G38" si="24" xml:space="preserve"> E37/$J$5 * 100</f>
        <v>7.6549425287356314</v>
      </c>
      <c r="H37" s="1">
        <f t="shared" ref="H37:H38" si="25" xml:space="preserve"> F37/$J$5 * 100</f>
        <v>0.34728680546159718</v>
      </c>
      <c r="P37" s="1" t="e">
        <f t="shared" ref="P37:P38" si="26" xml:space="preserve"> AVERAGE(M37:O37)</f>
        <v>#DIV/0!</v>
      </c>
      <c r="Q37" s="1" t="e">
        <f t="shared" ref="Q37:Q38" si="27" xml:space="preserve"> _xlfn.STDEV.S(M37:O37)</f>
        <v>#DIV/0!</v>
      </c>
      <c r="R37" s="1" t="e">
        <f t="shared" ref="R37:R38" si="28" xml:space="preserve"> P37/$J$5 * 100</f>
        <v>#DIV/0!</v>
      </c>
      <c r="S37" s="1" t="e">
        <f t="shared" ref="S37:S38" si="29" xml:space="preserve"> Q37/$J$5 * 100</f>
        <v>#DIV/0!</v>
      </c>
    </row>
    <row r="38" spans="1:19" x14ac:dyDescent="0.35">
      <c r="A38" s="1" t="s">
        <v>46</v>
      </c>
      <c r="B38" s="1">
        <f xml:space="preserve"> 21.363</f>
        <v>21.363</v>
      </c>
      <c r="C38" s="1">
        <f xml:space="preserve"> 21.042</f>
        <v>21.042000000000002</v>
      </c>
      <c r="D38" s="1">
        <f xml:space="preserve"> 20.683</f>
        <v>20.683</v>
      </c>
      <c r="E38" s="1">
        <f t="shared" si="22"/>
        <v>21.029333333333334</v>
      </c>
      <c r="F38" s="1">
        <f t="shared" si="23"/>
        <v>0.34017691475662082</v>
      </c>
      <c r="G38" s="1">
        <f t="shared" si="24"/>
        <v>7.251494252873564</v>
      </c>
      <c r="H38" s="1">
        <f t="shared" si="25"/>
        <v>0.11730238439883475</v>
      </c>
      <c r="P38" s="1" t="e">
        <f t="shared" si="26"/>
        <v>#DIV/0!</v>
      </c>
      <c r="Q38" s="1" t="e">
        <f t="shared" si="27"/>
        <v>#DIV/0!</v>
      </c>
      <c r="R38" s="1" t="e">
        <f t="shared" si="28"/>
        <v>#DIV/0!</v>
      </c>
      <c r="S38" s="1" t="e">
        <f t="shared" si="29"/>
        <v>#DIV/0!</v>
      </c>
    </row>
    <row r="41" spans="1:19" ht="29" x14ac:dyDescent="0.35">
      <c r="B41" s="1" t="s">
        <v>21</v>
      </c>
      <c r="G41" s="1" t="s">
        <v>12</v>
      </c>
      <c r="M41" s="1" t="s">
        <v>21</v>
      </c>
      <c r="R41" s="1" t="s">
        <v>12</v>
      </c>
    </row>
    <row r="42" spans="1:19" x14ac:dyDescent="0.35">
      <c r="A42" s="4" t="s">
        <v>43</v>
      </c>
      <c r="B42" s="1" t="s">
        <v>16</v>
      </c>
      <c r="C42" s="1" t="s">
        <v>17</v>
      </c>
      <c r="D42" s="1" t="s">
        <v>18</v>
      </c>
      <c r="E42" s="1" t="s">
        <v>19</v>
      </c>
      <c r="F42" s="1" t="s">
        <v>20</v>
      </c>
      <c r="G42" s="1" t="s">
        <v>19</v>
      </c>
      <c r="H42" s="1" t="s">
        <v>20</v>
      </c>
      <c r="L42" s="4" t="s">
        <v>43</v>
      </c>
      <c r="M42" s="1" t="s">
        <v>16</v>
      </c>
      <c r="N42" s="1" t="s">
        <v>17</v>
      </c>
      <c r="O42" s="1" t="s">
        <v>18</v>
      </c>
      <c r="P42" s="1" t="s">
        <v>19</v>
      </c>
      <c r="Q42" s="1" t="s">
        <v>20</v>
      </c>
      <c r="R42" s="1" t="s">
        <v>19</v>
      </c>
      <c r="S42" s="1" t="s">
        <v>20</v>
      </c>
    </row>
    <row r="43" spans="1:19" x14ac:dyDescent="0.35">
      <c r="A43" s="1" t="s">
        <v>44</v>
      </c>
      <c r="B43" s="1">
        <f xml:space="preserve"> 30.37</f>
        <v>30.37</v>
      </c>
      <c r="C43" s="1">
        <f xml:space="preserve"> 30.737</f>
        <v>30.736999999999998</v>
      </c>
      <c r="D43" s="1">
        <f xml:space="preserve"> 31.185</f>
        <v>31.184999999999999</v>
      </c>
      <c r="E43" s="1">
        <f xml:space="preserve"> AVERAGE(B43:D43)</f>
        <v>30.763999999999999</v>
      </c>
      <c r="F43" s="1">
        <f xml:space="preserve"> _xlfn.STDEV.S(B43:D43)</f>
        <v>0.40817030759230771</v>
      </c>
      <c r="G43" s="1">
        <f xml:space="preserve"> E43/$J$5 * 100</f>
        <v>10.608275862068965</v>
      </c>
      <c r="H43" s="1">
        <f xml:space="preserve"> F43/$J$5 * 100</f>
        <v>0.14074838192838199</v>
      </c>
      <c r="M43" s="1">
        <f xml:space="preserve"> 10.081</f>
        <v>10.081</v>
      </c>
      <c r="P43" s="1">
        <f xml:space="preserve"> AVERAGE(M43:O43)</f>
        <v>10.081</v>
      </c>
      <c r="Q43" s="1" t="e">
        <f xml:space="preserve"> _xlfn.STDEV.S(M43:O43)</f>
        <v>#DIV/0!</v>
      </c>
      <c r="R43" s="1">
        <f xml:space="preserve"> P43/$J$5 * 100</f>
        <v>3.4762068965517243</v>
      </c>
      <c r="S43" s="1" t="e">
        <f xml:space="preserve"> Q43/$J$5 * 100</f>
        <v>#DIV/0!</v>
      </c>
    </row>
    <row r="44" spans="1:19" x14ac:dyDescent="0.35">
      <c r="A44" s="1" t="s">
        <v>45</v>
      </c>
      <c r="B44" s="1">
        <f xml:space="preserve"> 20.227</f>
        <v>20.227</v>
      </c>
      <c r="C44" s="1">
        <f xml:space="preserve"> 22.447</f>
        <v>22.446999999999999</v>
      </c>
      <c r="D44" s="1">
        <f xml:space="preserve"> 20.894</f>
        <v>20.893999999999998</v>
      </c>
      <c r="E44" s="1">
        <f t="shared" ref="E44:E45" si="30" xml:space="preserve"> AVERAGE(B44:D44)</f>
        <v>21.189333333333334</v>
      </c>
      <c r="F44" s="1">
        <f t="shared" ref="F44:F45" si="31" xml:space="preserve"> _xlfn.STDEV.S(B44:D44)</f>
        <v>1.1390857445044831</v>
      </c>
      <c r="G44" s="1">
        <f t="shared" ref="G44:G45" si="32" xml:space="preserve"> E44/$J$5 * 100</f>
        <v>7.3066666666666666</v>
      </c>
      <c r="H44" s="1">
        <f t="shared" ref="H44:H45" si="33" xml:space="preserve"> F44/$J$5 * 100</f>
        <v>0.39278818776016661</v>
      </c>
      <c r="P44" s="1" t="e">
        <f t="shared" ref="P44:P45" si="34" xml:space="preserve"> AVERAGE(M44:O44)</f>
        <v>#DIV/0!</v>
      </c>
      <c r="Q44" s="1" t="e">
        <f t="shared" ref="Q44:Q45" si="35" xml:space="preserve"> _xlfn.STDEV.S(M44:O44)</f>
        <v>#DIV/0!</v>
      </c>
      <c r="R44" s="1" t="e">
        <f t="shared" ref="R44:R45" si="36" xml:space="preserve"> P44/$J$5 * 100</f>
        <v>#DIV/0!</v>
      </c>
      <c r="S44" s="1" t="e">
        <f t="shared" ref="S44:S45" si="37" xml:space="preserve"> Q44/$J$5 * 100</f>
        <v>#DIV/0!</v>
      </c>
    </row>
    <row r="45" spans="1:19" x14ac:dyDescent="0.35">
      <c r="A45" s="1" t="s">
        <v>46</v>
      </c>
      <c r="B45" s="1">
        <f xml:space="preserve"> 13.395</f>
        <v>13.395</v>
      </c>
      <c r="C45" s="1">
        <f xml:space="preserve"> 11.267</f>
        <v>11.266999999999999</v>
      </c>
      <c r="D45" s="1">
        <f xml:space="preserve"> 16.958</f>
        <v>16.957999999999998</v>
      </c>
      <c r="E45" s="1">
        <f t="shared" si="30"/>
        <v>13.873333333333333</v>
      </c>
      <c r="F45" s="1">
        <f t="shared" si="31"/>
        <v>2.8754951457676579</v>
      </c>
      <c r="G45" s="1">
        <f t="shared" si="32"/>
        <v>4.7839080459770118</v>
      </c>
      <c r="H45" s="1">
        <f t="shared" si="33"/>
        <v>0.99155005026470966</v>
      </c>
      <c r="P45" s="1" t="e">
        <f t="shared" si="34"/>
        <v>#DIV/0!</v>
      </c>
      <c r="Q45" s="1" t="e">
        <f t="shared" si="35"/>
        <v>#DIV/0!</v>
      </c>
      <c r="R45" s="1" t="e">
        <f t="shared" si="36"/>
        <v>#DIV/0!</v>
      </c>
      <c r="S45" s="1" t="e">
        <f t="shared" si="37"/>
        <v>#DIV/0!</v>
      </c>
    </row>
    <row r="48" spans="1:19" x14ac:dyDescent="0.35">
      <c r="A48" s="4"/>
      <c r="L48" s="4"/>
    </row>
    <row r="53" spans="1:12" ht="41.5" customHeight="1" x14ac:dyDescent="0.35"/>
    <row r="56" spans="1:12" x14ac:dyDescent="0.35">
      <c r="A56" s="4"/>
      <c r="L56" s="4"/>
    </row>
    <row r="57" spans="1:12" x14ac:dyDescent="0.35">
      <c r="A57" s="4"/>
      <c r="L57" s="4"/>
    </row>
    <row r="65" spans="1:12" x14ac:dyDescent="0.35">
      <c r="A65" s="4"/>
      <c r="L65" s="4"/>
    </row>
    <row r="66" spans="1:12" x14ac:dyDescent="0.35">
      <c r="A66" s="4"/>
      <c r="L66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8D8E-8D49-4DA7-8B74-86B4DAF1FE86}">
  <dimension ref="A1:S66"/>
  <sheetViews>
    <sheetView tabSelected="1" topLeftCell="A29" zoomScale="70" zoomScaleNormal="70" workbookViewId="0">
      <selection activeCell="J39" sqref="J39"/>
    </sheetView>
  </sheetViews>
  <sheetFormatPr defaultRowHeight="14.5" x14ac:dyDescent="0.35"/>
  <cols>
    <col min="1" max="1" width="23.90625" style="1" customWidth="1"/>
    <col min="2" max="4" width="8.7265625" style="1"/>
    <col min="5" max="6" width="11.453125" style="1" bestFit="1" customWidth="1"/>
    <col min="7" max="7" width="11.36328125" style="1" bestFit="1" customWidth="1"/>
    <col min="8" max="8" width="11.453125" style="1" bestFit="1" customWidth="1"/>
    <col min="9" max="9" width="8.7265625" style="1"/>
    <col min="10" max="10" width="19.1796875" style="1" customWidth="1"/>
    <col min="11" max="11" width="8.7265625" style="1"/>
    <col min="12" max="12" width="25.54296875" style="1" customWidth="1"/>
    <col min="13" max="13" width="15.08984375" style="1" bestFit="1" customWidth="1"/>
    <col min="14" max="14" width="8.36328125" style="1" customWidth="1"/>
    <col min="15" max="15" width="6.7265625" style="1" bestFit="1" customWidth="1"/>
    <col min="16" max="16384" width="8.7265625" style="1"/>
  </cols>
  <sheetData>
    <row r="1" spans="1:19" x14ac:dyDescent="0.35">
      <c r="A1" t="s">
        <v>32</v>
      </c>
      <c r="L1"/>
    </row>
    <row r="2" spans="1:19" ht="29" x14ac:dyDescent="0.35">
      <c r="A2" s="1" t="s">
        <v>51</v>
      </c>
      <c r="L2"/>
    </row>
    <row r="3" spans="1:19" x14ac:dyDescent="0.35">
      <c r="A3"/>
    </row>
    <row r="4" spans="1:19" ht="29" x14ac:dyDescent="0.35">
      <c r="A4" s="3" t="s">
        <v>36</v>
      </c>
      <c r="B4" s="1" t="s">
        <v>21</v>
      </c>
      <c r="G4" s="1" t="s">
        <v>12</v>
      </c>
      <c r="J4" s="1" t="s">
        <v>11</v>
      </c>
      <c r="L4" s="3" t="s">
        <v>35</v>
      </c>
      <c r="M4" s="1" t="s">
        <v>21</v>
      </c>
      <c r="R4" s="1" t="s">
        <v>12</v>
      </c>
    </row>
    <row r="5" spans="1:19" x14ac:dyDescent="0.35">
      <c r="A5" s="4" t="s">
        <v>22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19</v>
      </c>
      <c r="H5" s="1" t="s">
        <v>20</v>
      </c>
      <c r="J5" s="1">
        <f xml:space="preserve"> 290</f>
        <v>290</v>
      </c>
      <c r="L5" s="4" t="s">
        <v>22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19</v>
      </c>
      <c r="S5" s="1" t="s">
        <v>20</v>
      </c>
    </row>
    <row r="6" spans="1:19" x14ac:dyDescent="0.35">
      <c r="A6" s="1" t="s">
        <v>23</v>
      </c>
      <c r="B6" s="1">
        <f xml:space="preserve"> 31.456</f>
        <v>31.456</v>
      </c>
      <c r="C6" s="1">
        <f xml:space="preserve"> 30.06</f>
        <v>30.06</v>
      </c>
      <c r="D6" s="1">
        <f xml:space="preserve"> 30.008</f>
        <v>30.007999999999999</v>
      </c>
      <c r="E6" s="1">
        <f xml:space="preserve"> AVERAGE(B6:D6)</f>
        <v>30.507999999999999</v>
      </c>
      <c r="F6" s="1">
        <f xml:space="preserve"> _xlfn.STDEV.S(B6:D6)</f>
        <v>0.82140367664139446</v>
      </c>
      <c r="G6" s="1">
        <f xml:space="preserve"> E6/$J$5 * 100</f>
        <v>10.52</v>
      </c>
      <c r="H6" s="1">
        <f xml:space="preserve"> F6/$J$5 * 100</f>
        <v>0.28324264711772223</v>
      </c>
      <c r="J6" s="1" t="s">
        <v>13</v>
      </c>
      <c r="L6" s="1" t="s">
        <v>23</v>
      </c>
      <c r="M6" s="1">
        <f xml:space="preserve"> 12.229</f>
        <v>12.228999999999999</v>
      </c>
      <c r="N6" s="1">
        <f xml:space="preserve"> 11.883</f>
        <v>11.882999999999999</v>
      </c>
      <c r="O6" s="1">
        <f xml:space="preserve"> 12.111</f>
        <v>12.111000000000001</v>
      </c>
      <c r="P6" s="1">
        <f xml:space="preserve"> AVERAGE(M6:O6)</f>
        <v>12.074333333333334</v>
      </c>
      <c r="Q6" s="1">
        <f xml:space="preserve"> _xlfn.STDEV.S(M6:O6)</f>
        <v>0.17589011721337103</v>
      </c>
      <c r="R6" s="1">
        <f xml:space="preserve"> P6/$J$5 * 100</f>
        <v>4.1635632183908049</v>
      </c>
      <c r="S6" s="1">
        <f xml:space="preserve"> Q6/$J$5 * 100</f>
        <v>6.0651764556334829E-2</v>
      </c>
    </row>
    <row r="7" spans="1:19" x14ac:dyDescent="0.35">
      <c r="A7" s="1" t="s">
        <v>24</v>
      </c>
      <c r="B7" s="1">
        <f xml:space="preserve"> 26.877</f>
        <v>26.876999999999999</v>
      </c>
      <c r="C7" s="1">
        <f xml:space="preserve"> 25.126</f>
        <v>25.126000000000001</v>
      </c>
      <c r="D7" s="1">
        <f xml:space="preserve"> 25.375</f>
        <v>25.375</v>
      </c>
      <c r="E7" s="1">
        <f t="shared" ref="E7:E8" si="0" xml:space="preserve"> AVERAGE(B7:D7)</f>
        <v>25.792666666666666</v>
      </c>
      <c r="F7" s="1">
        <f t="shared" ref="F7:F8" si="1" xml:space="preserve"> _xlfn.STDEV.S(B7:D7)</f>
        <v>0.94727732651707197</v>
      </c>
      <c r="G7" s="1">
        <f t="shared" ref="G7:H8" si="2" xml:space="preserve"> E7/$J$5 * 100</f>
        <v>8.8940229885057462</v>
      </c>
      <c r="H7" s="1">
        <f t="shared" si="2"/>
        <v>0.32664735397140415</v>
      </c>
      <c r="L7" s="1" t="s">
        <v>24</v>
      </c>
      <c r="M7" s="1">
        <f xml:space="preserve"> 9.8526</f>
        <v>9.8526000000000007</v>
      </c>
      <c r="N7" s="1">
        <f xml:space="preserve"> 9.3871</f>
        <v>9.3871000000000002</v>
      </c>
      <c r="O7" s="1">
        <f xml:space="preserve"> 9.4634</f>
        <v>9.4634</v>
      </c>
      <c r="P7" s="1">
        <f t="shared" ref="P7:P8" si="3" xml:space="preserve"> AVERAGE(M7:O7)</f>
        <v>9.5677000000000003</v>
      </c>
      <c r="Q7" s="1">
        <f t="shared" ref="Q7:Q8" si="4" xml:space="preserve"> _xlfn.STDEV.S(M7:O7)</f>
        <v>0.24966263236615957</v>
      </c>
      <c r="R7" s="1">
        <f t="shared" ref="R7:S8" si="5" xml:space="preserve"> P7/$J$5 * 100</f>
        <v>3.2992068965517243</v>
      </c>
      <c r="S7" s="1">
        <f t="shared" si="5"/>
        <v>8.6090562884882607E-2</v>
      </c>
    </row>
    <row r="8" spans="1:19" x14ac:dyDescent="0.35">
      <c r="A8" s="1" t="s">
        <v>25</v>
      </c>
      <c r="B8" s="1">
        <f xml:space="preserve"> 27.019</f>
        <v>27.018999999999998</v>
      </c>
      <c r="C8" s="1">
        <f xml:space="preserve"> 26.386</f>
        <v>26.385999999999999</v>
      </c>
      <c r="E8" s="1">
        <f t="shared" si="0"/>
        <v>26.702500000000001</v>
      </c>
      <c r="F8" s="1">
        <f t="shared" si="1"/>
        <v>0.44759859249108397</v>
      </c>
      <c r="G8" s="1">
        <f t="shared" si="2"/>
        <v>9.2077586206896562</v>
      </c>
      <c r="H8" s="1">
        <f t="shared" si="2"/>
        <v>0.15434434223830482</v>
      </c>
      <c r="L8" s="1" t="s">
        <v>25</v>
      </c>
      <c r="M8" s="1">
        <f xml:space="preserve"> 11.547</f>
        <v>11.547000000000001</v>
      </c>
      <c r="N8" s="1">
        <f xml:space="preserve"> 11.054</f>
        <v>11.054</v>
      </c>
      <c r="P8" s="1">
        <f t="shared" si="3"/>
        <v>11.3005</v>
      </c>
      <c r="Q8" s="1">
        <f t="shared" si="4"/>
        <v>0.34860364312496817</v>
      </c>
      <c r="R8" s="1">
        <f t="shared" si="5"/>
        <v>3.8967241379310344</v>
      </c>
      <c r="S8" s="1">
        <f t="shared" si="5"/>
        <v>0.12020815280171315</v>
      </c>
    </row>
    <row r="10" spans="1:19" ht="29" x14ac:dyDescent="0.35">
      <c r="B10" s="1" t="s">
        <v>21</v>
      </c>
      <c r="G10" s="1" t="s">
        <v>12</v>
      </c>
      <c r="M10" s="1" t="s">
        <v>21</v>
      </c>
      <c r="R10" s="1" t="s">
        <v>12</v>
      </c>
    </row>
    <row r="11" spans="1:19" x14ac:dyDescent="0.35">
      <c r="A11" s="4" t="s">
        <v>33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19</v>
      </c>
      <c r="H11" s="1" t="s">
        <v>20</v>
      </c>
      <c r="L11" s="4" t="s">
        <v>33</v>
      </c>
      <c r="M11" s="1" t="s">
        <v>16</v>
      </c>
      <c r="N11" s="1" t="s">
        <v>17</v>
      </c>
      <c r="O11" s="1" t="s">
        <v>18</v>
      </c>
      <c r="P11" s="1" t="s">
        <v>19</v>
      </c>
      <c r="Q11" s="1" t="s">
        <v>20</v>
      </c>
      <c r="R11" s="1" t="s">
        <v>19</v>
      </c>
      <c r="S11" s="1" t="s">
        <v>20</v>
      </c>
    </row>
    <row r="12" spans="1:19" x14ac:dyDescent="0.35">
      <c r="A12" s="1" t="s">
        <v>47</v>
      </c>
      <c r="B12" s="1">
        <f xml:space="preserve"> 31.855</f>
        <v>31.855</v>
      </c>
      <c r="C12" s="1">
        <f xml:space="preserve"> 32.422</f>
        <v>32.421999999999997</v>
      </c>
      <c r="D12" s="1">
        <f xml:space="preserve"> 32.6</f>
        <v>32.6</v>
      </c>
      <c r="E12" s="1">
        <f xml:space="preserve"> AVERAGE(B12:D12)</f>
        <v>32.292333333333339</v>
      </c>
      <c r="F12" s="1">
        <f xml:space="preserve"> _xlfn.STDEV.S(B12:D12)</f>
        <v>0.38905826470251625</v>
      </c>
      <c r="G12" s="1">
        <f t="shared" ref="G12:H14" si="6" xml:space="preserve"> E12/$J$5 * 100</f>
        <v>11.135287356321841</v>
      </c>
      <c r="H12" s="1">
        <f t="shared" si="6"/>
        <v>0.13415802231121252</v>
      </c>
      <c r="L12" s="1" t="s">
        <v>47</v>
      </c>
      <c r="P12" s="1" t="e">
        <f xml:space="preserve"> AVERAGE(M12:O12)</f>
        <v>#DIV/0!</v>
      </c>
      <c r="Q12" s="1" t="e">
        <f xml:space="preserve"> _xlfn.STDEV.S(M12:O12)</f>
        <v>#DIV/0!</v>
      </c>
      <c r="R12" s="1" t="e">
        <f t="shared" ref="R12:S14" si="7" xml:space="preserve"> P12/$J$5 * 100</f>
        <v>#DIV/0!</v>
      </c>
      <c r="S12" s="1" t="e">
        <f t="shared" si="7"/>
        <v>#DIV/0!</v>
      </c>
    </row>
    <row r="13" spans="1:19" x14ac:dyDescent="0.35">
      <c r="A13" s="1" t="s">
        <v>48</v>
      </c>
      <c r="B13" s="1">
        <f xml:space="preserve"> 27.201</f>
        <v>27.201000000000001</v>
      </c>
      <c r="C13" s="1">
        <f xml:space="preserve"> 26.627</f>
        <v>26.626999999999999</v>
      </c>
      <c r="D13" s="1">
        <f xml:space="preserve"> 27.179</f>
        <v>27.178999999999998</v>
      </c>
      <c r="E13" s="1">
        <f xml:space="preserve"> AVERAGE(B13:D13)</f>
        <v>27.002333333333336</v>
      </c>
      <c r="F13" s="1">
        <f xml:space="preserve"> _xlfn.STDEV.S(B13:D13)</f>
        <v>0.32523427453657705</v>
      </c>
      <c r="G13" s="1">
        <f t="shared" si="6"/>
        <v>9.3111494252873577</v>
      </c>
      <c r="H13" s="1">
        <f t="shared" si="6"/>
        <v>0.11214974984019897</v>
      </c>
      <c r="L13" s="1" t="s">
        <v>48</v>
      </c>
      <c r="P13" s="1" t="e">
        <f xml:space="preserve"> AVERAGE(M13:O13)</f>
        <v>#DIV/0!</v>
      </c>
      <c r="Q13" s="1" t="e">
        <f xml:space="preserve"> _xlfn.STDEV.S(M13:O13)</f>
        <v>#DIV/0!</v>
      </c>
      <c r="R13" s="1" t="e">
        <f t="shared" si="7"/>
        <v>#DIV/0!</v>
      </c>
      <c r="S13" s="1" t="e">
        <f t="shared" si="7"/>
        <v>#DIV/0!</v>
      </c>
    </row>
    <row r="14" spans="1:19" x14ac:dyDescent="0.35">
      <c r="A14" s="1" t="s">
        <v>49</v>
      </c>
      <c r="B14" s="1">
        <f xml:space="preserve"> 26.634</f>
        <v>26.634</v>
      </c>
      <c r="C14" s="1">
        <f xml:space="preserve"> 27.374</f>
        <v>27.373999999999999</v>
      </c>
      <c r="D14" s="1">
        <f xml:space="preserve"> 27.044</f>
        <v>27.044</v>
      </c>
      <c r="E14" s="1">
        <f xml:space="preserve"> AVERAGE(B14:D14)</f>
        <v>27.01733333333333</v>
      </c>
      <c r="F14" s="1">
        <f xml:space="preserve"> _xlfn.STDEV.S(B14:D14)</f>
        <v>0.3707200201409856</v>
      </c>
      <c r="G14" s="1">
        <f t="shared" si="6"/>
        <v>9.3163218390804587</v>
      </c>
      <c r="H14" s="1">
        <f t="shared" si="6"/>
        <v>0.12783448970378813</v>
      </c>
      <c r="L14" s="1" t="s">
        <v>49</v>
      </c>
      <c r="P14" s="1" t="e">
        <f xml:space="preserve"> AVERAGE(M14:O14)</f>
        <v>#DIV/0!</v>
      </c>
      <c r="Q14" s="1" t="e">
        <f xml:space="preserve"> _xlfn.STDEV.S(M14:O14)</f>
        <v>#DIV/0!</v>
      </c>
      <c r="R14" s="1" t="e">
        <f t="shared" si="7"/>
        <v>#DIV/0!</v>
      </c>
      <c r="S14" s="1" t="e">
        <f t="shared" si="7"/>
        <v>#DIV/0!</v>
      </c>
    </row>
    <row r="16" spans="1:19" ht="29" x14ac:dyDescent="0.35">
      <c r="B16" s="1" t="s">
        <v>21</v>
      </c>
      <c r="G16" s="1" t="s">
        <v>12</v>
      </c>
      <c r="M16" s="1" t="s">
        <v>21</v>
      </c>
      <c r="R16" s="1" t="s">
        <v>12</v>
      </c>
    </row>
    <row r="17" spans="1:19" x14ac:dyDescent="0.35">
      <c r="A17" s="4" t="s">
        <v>37</v>
      </c>
      <c r="B17" s="1" t="s">
        <v>16</v>
      </c>
      <c r="C17" s="1" t="s">
        <v>17</v>
      </c>
      <c r="D17" s="1" t="s">
        <v>18</v>
      </c>
      <c r="E17" s="1" t="s">
        <v>19</v>
      </c>
      <c r="F17" s="1" t="s">
        <v>20</v>
      </c>
      <c r="G17" s="1" t="s">
        <v>19</v>
      </c>
      <c r="H17" s="1" t="s">
        <v>20</v>
      </c>
      <c r="L17" s="1" t="s">
        <v>37</v>
      </c>
      <c r="M17" s="1" t="s">
        <v>16</v>
      </c>
      <c r="N17" s="1" t="s">
        <v>17</v>
      </c>
      <c r="O17" s="1" t="s">
        <v>18</v>
      </c>
      <c r="P17" s="1" t="s">
        <v>19</v>
      </c>
      <c r="Q17" s="1" t="s">
        <v>20</v>
      </c>
      <c r="R17" s="1" t="s">
        <v>19</v>
      </c>
      <c r="S17" s="1" t="s">
        <v>20</v>
      </c>
    </row>
    <row r="18" spans="1:19" x14ac:dyDescent="0.35">
      <c r="A18" s="1" t="s">
        <v>47</v>
      </c>
      <c r="B18" s="1">
        <f xml:space="preserve"> 26.703</f>
        <v>26.702999999999999</v>
      </c>
      <c r="C18" s="1">
        <f xml:space="preserve"> 28.06</f>
        <v>28.06</v>
      </c>
      <c r="D18" s="1">
        <f xml:space="preserve"> 26.787</f>
        <v>26.786999999999999</v>
      </c>
      <c r="E18" s="1">
        <f xml:space="preserve"> AVERAGE(B18:D18)</f>
        <v>27.183333333333334</v>
      </c>
      <c r="F18" s="1">
        <f xml:space="preserve"> _xlfn.STDEV.S(B18:D18)</f>
        <v>0.76037644185846054</v>
      </c>
      <c r="G18" s="1">
        <f t="shared" ref="G18:H20" si="8" xml:space="preserve"> E18/$J$5 * 100</f>
        <v>9.3735632183908049</v>
      </c>
      <c r="H18" s="1">
        <f t="shared" si="8"/>
        <v>0.26219877305464157</v>
      </c>
      <c r="L18" s="1" t="s">
        <v>47</v>
      </c>
    </row>
    <row r="19" spans="1:19" x14ac:dyDescent="0.35">
      <c r="A19" s="1" t="s">
        <v>48</v>
      </c>
      <c r="B19" s="1">
        <f xml:space="preserve"> 22.215</f>
        <v>22.215</v>
      </c>
      <c r="C19" s="1">
        <f xml:space="preserve"> 21.689</f>
        <v>21.689</v>
      </c>
      <c r="D19" s="1">
        <f xml:space="preserve"> 21.758</f>
        <v>21.757999999999999</v>
      </c>
      <c r="E19" s="1">
        <f xml:space="preserve"> AVERAGE(B19:D19)</f>
        <v>21.887333333333331</v>
      </c>
      <c r="F19" s="1">
        <f xml:space="preserve"> _xlfn.STDEV.S(B19:D19)</f>
        <v>0.285857190452389</v>
      </c>
      <c r="G19" s="1">
        <f t="shared" si="8"/>
        <v>7.5473563218390796</v>
      </c>
      <c r="H19" s="1">
        <f t="shared" si="8"/>
        <v>9.8571444983582418E-2</v>
      </c>
      <c r="L19" s="1" t="s">
        <v>48</v>
      </c>
    </row>
    <row r="20" spans="1:19" x14ac:dyDescent="0.35">
      <c r="A20" s="1" t="s">
        <v>49</v>
      </c>
      <c r="B20" s="1">
        <f xml:space="preserve"> 23.772</f>
        <v>23.771999999999998</v>
      </c>
      <c r="C20" s="1">
        <f xml:space="preserve"> 22.536</f>
        <v>22.536000000000001</v>
      </c>
      <c r="D20" s="1">
        <f xml:space="preserve"> 21.972</f>
        <v>21.972000000000001</v>
      </c>
      <c r="E20" s="1">
        <f xml:space="preserve"> AVERAGE(B20:D20)</f>
        <v>22.76</v>
      </c>
      <c r="F20" s="1">
        <f xml:space="preserve"> _xlfn.STDEV.S(B20:D20)</f>
        <v>0.92066932174369587</v>
      </c>
      <c r="G20" s="1">
        <f t="shared" si="8"/>
        <v>7.8482758620689665</v>
      </c>
      <c r="H20" s="1">
        <f t="shared" si="8"/>
        <v>0.31747217991161925</v>
      </c>
      <c r="L20" s="1" t="s">
        <v>49</v>
      </c>
    </row>
    <row r="22" spans="1:19" ht="29" x14ac:dyDescent="0.35">
      <c r="B22" s="1" t="s">
        <v>21</v>
      </c>
      <c r="G22" s="1" t="s">
        <v>12</v>
      </c>
      <c r="M22" s="1" t="s">
        <v>21</v>
      </c>
      <c r="R22" s="1" t="s">
        <v>12</v>
      </c>
    </row>
    <row r="23" spans="1:19" x14ac:dyDescent="0.35">
      <c r="A23" s="4" t="s">
        <v>40</v>
      </c>
      <c r="B23" s="1" t="s">
        <v>16</v>
      </c>
      <c r="C23" s="1" t="s">
        <v>17</v>
      </c>
      <c r="D23" s="1" t="s">
        <v>18</v>
      </c>
      <c r="E23" s="1" t="s">
        <v>19</v>
      </c>
      <c r="F23" s="1" t="s">
        <v>20</v>
      </c>
      <c r="G23" s="1" t="s">
        <v>19</v>
      </c>
      <c r="H23" s="1" t="s">
        <v>20</v>
      </c>
      <c r="L23" s="4" t="s">
        <v>40</v>
      </c>
      <c r="M23" s="1" t="s">
        <v>16</v>
      </c>
      <c r="N23" s="1" t="s">
        <v>17</v>
      </c>
      <c r="O23" s="1" t="s">
        <v>18</v>
      </c>
      <c r="P23" s="1" t="s">
        <v>19</v>
      </c>
      <c r="Q23" s="1" t="s">
        <v>20</v>
      </c>
      <c r="R23" s="1" t="s">
        <v>19</v>
      </c>
      <c r="S23" s="1" t="s">
        <v>20</v>
      </c>
    </row>
    <row r="24" spans="1:19" x14ac:dyDescent="0.35">
      <c r="A24" s="1" t="s">
        <v>47</v>
      </c>
      <c r="B24" s="1">
        <f xml:space="preserve"> 24.594</f>
        <v>24.594000000000001</v>
      </c>
      <c r="C24" s="1">
        <f xml:space="preserve"> 25.242</f>
        <v>25.242000000000001</v>
      </c>
      <c r="D24" s="1">
        <f xml:space="preserve"> 25.759</f>
        <v>25.759</v>
      </c>
      <c r="E24" s="1">
        <f xml:space="preserve"> AVERAGE(B24:D24)</f>
        <v>25.198333333333334</v>
      </c>
      <c r="F24" s="1">
        <f xml:space="preserve"> _xlfn.STDEV.S(B24:D24)</f>
        <v>0.58372624862458666</v>
      </c>
      <c r="G24" s="1">
        <f t="shared" ref="G24:H26" si="9" xml:space="preserve"> E24/$J$5 * 100</f>
        <v>8.6890804597701159</v>
      </c>
      <c r="H24" s="1">
        <f t="shared" si="9"/>
        <v>0.20128491331882298</v>
      </c>
      <c r="L24" s="1" t="s">
        <v>47</v>
      </c>
    </row>
    <row r="25" spans="1:19" x14ac:dyDescent="0.35">
      <c r="A25" s="1" t="s">
        <v>48</v>
      </c>
      <c r="B25" s="1">
        <f xml:space="preserve"> 21.327</f>
        <v>21.327000000000002</v>
      </c>
      <c r="C25" s="1">
        <f xml:space="preserve"> 21.388</f>
        <v>21.388000000000002</v>
      </c>
      <c r="D25" s="1">
        <f xml:space="preserve"> 21.462</f>
        <v>21.462</v>
      </c>
      <c r="E25" s="1">
        <f t="shared" ref="E25:E26" si="10" xml:space="preserve"> AVERAGE(B25:D25)</f>
        <v>21.392333333333337</v>
      </c>
      <c r="F25" s="1">
        <f xml:space="preserve"> _xlfn.STDEV.S(B25:D25)</f>
        <v>6.7604240498161022E-2</v>
      </c>
      <c r="G25" s="1">
        <f t="shared" si="9"/>
        <v>7.3766666666666678</v>
      </c>
      <c r="H25" s="1">
        <f t="shared" si="9"/>
        <v>2.3311807068331386E-2</v>
      </c>
      <c r="L25" s="1" t="s">
        <v>48</v>
      </c>
    </row>
    <row r="26" spans="1:19" x14ac:dyDescent="0.35">
      <c r="A26" s="1" t="s">
        <v>49</v>
      </c>
      <c r="B26" s="1">
        <f xml:space="preserve"> 22.868</f>
        <v>22.867999999999999</v>
      </c>
      <c r="C26" s="1">
        <f xml:space="preserve"> 21.92</f>
        <v>21.92</v>
      </c>
      <c r="D26" s="1">
        <f xml:space="preserve"> 22.261</f>
        <v>22.260999999999999</v>
      </c>
      <c r="E26" s="1">
        <f t="shared" si="10"/>
        <v>22.349666666666664</v>
      </c>
      <c r="F26" s="1">
        <f xml:space="preserve"> _xlfn.STDEV.S(B26:D26)</f>
        <v>0.48017948033348107</v>
      </c>
      <c r="G26" s="1">
        <f t="shared" si="9"/>
        <v>7.7067816091954011</v>
      </c>
      <c r="H26" s="1">
        <f t="shared" si="9"/>
        <v>0.16557913114947623</v>
      </c>
      <c r="L26" s="1" t="s">
        <v>49</v>
      </c>
    </row>
    <row r="28" spans="1:19" ht="29" x14ac:dyDescent="0.35">
      <c r="B28" s="1" t="s">
        <v>21</v>
      </c>
      <c r="G28" s="1" t="s">
        <v>12</v>
      </c>
      <c r="M28" s="1" t="s">
        <v>21</v>
      </c>
      <c r="R28" s="1" t="s">
        <v>12</v>
      </c>
    </row>
    <row r="29" spans="1:19" x14ac:dyDescent="0.35">
      <c r="A29" s="4" t="s">
        <v>41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20</v>
      </c>
      <c r="G29" s="1" t="s">
        <v>19</v>
      </c>
      <c r="H29" s="1" t="s">
        <v>20</v>
      </c>
      <c r="L29" s="4" t="s">
        <v>41</v>
      </c>
      <c r="M29" s="1" t="s">
        <v>16</v>
      </c>
      <c r="N29" s="1" t="s">
        <v>17</v>
      </c>
      <c r="O29" s="1" t="s">
        <v>18</v>
      </c>
      <c r="P29" s="1" t="s">
        <v>19</v>
      </c>
      <c r="Q29" s="1" t="s">
        <v>20</v>
      </c>
      <c r="R29" s="1" t="s">
        <v>19</v>
      </c>
      <c r="S29" s="1" t="s">
        <v>20</v>
      </c>
    </row>
    <row r="30" spans="1:19" x14ac:dyDescent="0.35">
      <c r="A30" s="1" t="s">
        <v>47</v>
      </c>
      <c r="B30" s="1">
        <f xml:space="preserve"> 18.796</f>
        <v>18.795999999999999</v>
      </c>
      <c r="C30" s="1">
        <f xml:space="preserve"> 20.563</f>
        <v>20.562999999999999</v>
      </c>
      <c r="D30" s="1">
        <f xml:space="preserve"> 21.115</f>
        <v>21.114999999999998</v>
      </c>
      <c r="E30" s="1">
        <f xml:space="preserve"> AVERAGE(B30:D30)</f>
        <v>20.157999999999998</v>
      </c>
      <c r="F30" s="1">
        <f xml:space="preserve"> _xlfn.STDEV.S(B30:D30)</f>
        <v>1.2113872213293315</v>
      </c>
      <c r="G30" s="1">
        <f xml:space="preserve"> E30/$J$5 * 100</f>
        <v>6.9510344827586197</v>
      </c>
      <c r="H30" s="1">
        <f xml:space="preserve"> F30/$J$5 * 100</f>
        <v>0.41771973149287295</v>
      </c>
      <c r="L30" s="1" t="s">
        <v>47</v>
      </c>
      <c r="P30" s="1" t="e">
        <f xml:space="preserve"> AVERAGE(M30:O30)</f>
        <v>#DIV/0!</v>
      </c>
      <c r="Q30" s="1" t="e">
        <f xml:space="preserve"> _xlfn.STDEV.S(M30:O30)</f>
        <v>#DIV/0!</v>
      </c>
      <c r="R30" s="1" t="e">
        <f xml:space="preserve"> P30/$J$5 * 100</f>
        <v>#DIV/0!</v>
      </c>
      <c r="S30" s="1" t="e">
        <f xml:space="preserve"> Q30/$J$5 * 100</f>
        <v>#DIV/0!</v>
      </c>
    </row>
    <row r="31" spans="1:19" x14ac:dyDescent="0.35">
      <c r="A31" s="1" t="s">
        <v>48</v>
      </c>
      <c r="B31" s="1">
        <f xml:space="preserve"> (11.077  + 7.0029)</f>
        <v>18.079900000000002</v>
      </c>
      <c r="C31" s="1">
        <f xml:space="preserve"> 18.356</f>
        <v>18.356000000000002</v>
      </c>
      <c r="D31" s="1">
        <f xml:space="preserve"> 18.522</f>
        <v>18.521999999999998</v>
      </c>
      <c r="E31" s="1">
        <f t="shared" ref="E31:E32" si="11" xml:space="preserve"> AVERAGE(B31:D31)</f>
        <v>18.319300000000002</v>
      </c>
      <c r="F31" s="1">
        <f t="shared" ref="F31:F32" si="12" xml:space="preserve"> _xlfn.STDEV.S(B31:D31)</f>
        <v>0.22332324106549961</v>
      </c>
      <c r="G31" s="1">
        <f t="shared" ref="G31:H32" si="13" xml:space="preserve"> E31/$J$5 * 100</f>
        <v>6.3170000000000002</v>
      </c>
      <c r="H31" s="1">
        <f t="shared" si="13"/>
        <v>7.7008014160517113E-2</v>
      </c>
      <c r="L31" s="1" t="s">
        <v>48</v>
      </c>
      <c r="P31" s="1" t="e">
        <f t="shared" ref="P31:P32" si="14" xml:space="preserve"> AVERAGE(M31:O31)</f>
        <v>#DIV/0!</v>
      </c>
      <c r="Q31" s="1" t="e">
        <f t="shared" ref="Q31:Q32" si="15" xml:space="preserve"> _xlfn.STDEV.S(M31:O31)</f>
        <v>#DIV/0!</v>
      </c>
      <c r="R31" s="1" t="e">
        <f t="shared" ref="R31:S32" si="16" xml:space="preserve"> P31/$J$5 * 100</f>
        <v>#DIV/0!</v>
      </c>
      <c r="S31" s="1" t="e">
        <f t="shared" si="16"/>
        <v>#DIV/0!</v>
      </c>
    </row>
    <row r="32" spans="1:19" x14ac:dyDescent="0.35">
      <c r="A32" s="1" t="s">
        <v>49</v>
      </c>
      <c r="B32" s="1">
        <f xml:space="preserve"> 18.604</f>
        <v>18.603999999999999</v>
      </c>
      <c r="C32" s="1">
        <f xml:space="preserve"> 18.612</f>
        <v>18.611999999999998</v>
      </c>
      <c r="D32" s="1">
        <f xml:space="preserve"> 18.744</f>
        <v>18.744</v>
      </c>
      <c r="E32" s="1">
        <f t="shared" si="11"/>
        <v>18.653333333333332</v>
      </c>
      <c r="F32" s="1">
        <f t="shared" si="12"/>
        <v>7.8621455934963586E-2</v>
      </c>
      <c r="G32" s="1">
        <f t="shared" si="13"/>
        <v>6.4321839080459773</v>
      </c>
      <c r="H32" s="1">
        <f t="shared" si="13"/>
        <v>2.7110846874125377E-2</v>
      </c>
      <c r="L32" s="1" t="s">
        <v>49</v>
      </c>
      <c r="P32" s="1" t="e">
        <f t="shared" si="14"/>
        <v>#DIV/0!</v>
      </c>
      <c r="Q32" s="1" t="e">
        <f t="shared" si="15"/>
        <v>#DIV/0!</v>
      </c>
      <c r="R32" s="1" t="e">
        <f t="shared" si="16"/>
        <v>#DIV/0!</v>
      </c>
      <c r="S32" s="1" t="e">
        <f t="shared" si="16"/>
        <v>#DIV/0!</v>
      </c>
    </row>
    <row r="34" spans="1:19" ht="29" x14ac:dyDescent="0.35">
      <c r="B34" s="1" t="s">
        <v>21</v>
      </c>
      <c r="G34" s="1" t="s">
        <v>12</v>
      </c>
      <c r="M34" s="1" t="s">
        <v>21</v>
      </c>
      <c r="R34" s="1" t="s">
        <v>12</v>
      </c>
    </row>
    <row r="35" spans="1:19" x14ac:dyDescent="0.35">
      <c r="A35" s="4" t="s">
        <v>42</v>
      </c>
      <c r="B35" s="1" t="s">
        <v>16</v>
      </c>
      <c r="C35" s="1" t="s">
        <v>17</v>
      </c>
      <c r="D35" s="1" t="s">
        <v>18</v>
      </c>
      <c r="E35" s="1" t="s">
        <v>19</v>
      </c>
      <c r="F35" s="1" t="s">
        <v>20</v>
      </c>
      <c r="G35" s="1" t="s">
        <v>19</v>
      </c>
      <c r="H35" s="1" t="s">
        <v>20</v>
      </c>
      <c r="L35" s="4" t="s">
        <v>42</v>
      </c>
      <c r="M35" s="1" t="s">
        <v>16</v>
      </c>
      <c r="N35" s="1" t="s">
        <v>17</v>
      </c>
      <c r="O35" s="1" t="s">
        <v>18</v>
      </c>
      <c r="P35" s="1" t="s">
        <v>19</v>
      </c>
      <c r="Q35" s="1" t="s">
        <v>20</v>
      </c>
      <c r="R35" s="1" t="s">
        <v>19</v>
      </c>
      <c r="S35" s="1" t="s">
        <v>20</v>
      </c>
    </row>
    <row r="36" spans="1:19" x14ac:dyDescent="0.35">
      <c r="A36" s="1" t="s">
        <v>47</v>
      </c>
      <c r="B36" s="1">
        <f xml:space="preserve"> 21.288</f>
        <v>21.288</v>
      </c>
      <c r="C36" s="1">
        <f xml:space="preserve"> 24.079</f>
        <v>24.079000000000001</v>
      </c>
      <c r="D36" s="1">
        <f xml:space="preserve"> 23.524</f>
        <v>23.524000000000001</v>
      </c>
      <c r="E36" s="1">
        <f xml:space="preserve"> AVERAGE(B36:D36)</f>
        <v>22.963666666666668</v>
      </c>
      <c r="F36" s="1">
        <f xml:space="preserve"> _xlfn.STDEV.S(B36:D36)</f>
        <v>1.4774641563616135</v>
      </c>
      <c r="G36" s="1">
        <f xml:space="preserve"> E36/$J$5 * 100</f>
        <v>7.9185057471264377</v>
      </c>
      <c r="H36" s="1">
        <f xml:space="preserve"> F36/$J$5 * 100</f>
        <v>0.50947039874538402</v>
      </c>
      <c r="L36" s="1" t="s">
        <v>47</v>
      </c>
      <c r="P36" s="1" t="e">
        <f xml:space="preserve"> AVERAGE(M36:O36)</f>
        <v>#DIV/0!</v>
      </c>
      <c r="Q36" s="1" t="e">
        <f xml:space="preserve"> _xlfn.STDEV.S(M36:O36)</f>
        <v>#DIV/0!</v>
      </c>
      <c r="R36" s="1" t="e">
        <f xml:space="preserve"> P36/$J$5 * 100</f>
        <v>#DIV/0!</v>
      </c>
      <c r="S36" s="1" t="e">
        <f xml:space="preserve"> Q36/$J$5 * 100</f>
        <v>#DIV/0!</v>
      </c>
    </row>
    <row r="37" spans="1:19" x14ac:dyDescent="0.35">
      <c r="A37" s="1" t="s">
        <v>48</v>
      </c>
      <c r="B37" s="1">
        <f xml:space="preserve"> 19.234</f>
        <v>19.234000000000002</v>
      </c>
      <c r="C37" s="1">
        <f xml:space="preserve"> 18.716</f>
        <v>18.716000000000001</v>
      </c>
      <c r="D37" s="1">
        <f xml:space="preserve"> 18.577</f>
        <v>18.577000000000002</v>
      </c>
      <c r="E37" s="1">
        <f t="shared" ref="E37:E38" si="17" xml:space="preserve"> AVERAGE(B37:D37)</f>
        <v>18.842333333333332</v>
      </c>
      <c r="F37" s="1">
        <f t="shared" ref="F37:F38" si="18" xml:space="preserve"> _xlfn.STDEV.S(B37:D37)</f>
        <v>0.34624028265546086</v>
      </c>
      <c r="G37" s="1">
        <f t="shared" ref="G37:H38" si="19" xml:space="preserve"> E37/$J$5 * 100</f>
        <v>6.4973563218390806</v>
      </c>
      <c r="H37" s="1">
        <f t="shared" si="19"/>
        <v>0.11939320091567616</v>
      </c>
      <c r="L37" s="1" t="s">
        <v>48</v>
      </c>
      <c r="P37" s="1" t="e">
        <f t="shared" ref="P37:P38" si="20" xml:space="preserve"> AVERAGE(M37:O37)</f>
        <v>#DIV/0!</v>
      </c>
      <c r="Q37" s="1" t="e">
        <f t="shared" ref="Q37:Q38" si="21" xml:space="preserve"> _xlfn.STDEV.S(M37:O37)</f>
        <v>#DIV/0!</v>
      </c>
      <c r="R37" s="1" t="e">
        <f t="shared" ref="R37:S38" si="22" xml:space="preserve"> P37/$J$5 * 100</f>
        <v>#DIV/0!</v>
      </c>
      <c r="S37" s="1" t="e">
        <f t="shared" si="22"/>
        <v>#DIV/0!</v>
      </c>
    </row>
    <row r="38" spans="1:19" x14ac:dyDescent="0.35">
      <c r="A38" s="1" t="s">
        <v>49</v>
      </c>
      <c r="B38" s="1">
        <f xml:space="preserve"> 18.92</f>
        <v>18.920000000000002</v>
      </c>
      <c r="C38" s="1">
        <f xml:space="preserve"> 18.774</f>
        <v>18.774000000000001</v>
      </c>
      <c r="D38" s="1">
        <f xml:space="preserve"> 19.879</f>
        <v>19.879000000000001</v>
      </c>
      <c r="E38" s="1">
        <f t="shared" si="17"/>
        <v>19.191000000000003</v>
      </c>
      <c r="F38" s="1">
        <f t="shared" si="18"/>
        <v>0.60028076764127636</v>
      </c>
      <c r="G38" s="1">
        <f t="shared" si="19"/>
        <v>6.6175862068965525</v>
      </c>
      <c r="H38" s="1">
        <f t="shared" si="19"/>
        <v>0.20699336815216424</v>
      </c>
      <c r="L38" s="1" t="s">
        <v>49</v>
      </c>
      <c r="P38" s="1" t="e">
        <f t="shared" si="20"/>
        <v>#DIV/0!</v>
      </c>
      <c r="Q38" s="1" t="e">
        <f t="shared" si="21"/>
        <v>#DIV/0!</v>
      </c>
      <c r="R38" s="1" t="e">
        <f t="shared" si="22"/>
        <v>#DIV/0!</v>
      </c>
      <c r="S38" s="1" t="e">
        <f t="shared" si="22"/>
        <v>#DIV/0!</v>
      </c>
    </row>
    <row r="41" spans="1:19" ht="29" x14ac:dyDescent="0.35">
      <c r="B41" s="1" t="s">
        <v>21</v>
      </c>
      <c r="G41" s="1" t="s">
        <v>12</v>
      </c>
      <c r="M41" s="1" t="s">
        <v>21</v>
      </c>
      <c r="R41" s="1" t="s">
        <v>12</v>
      </c>
    </row>
    <row r="42" spans="1:19" x14ac:dyDescent="0.35">
      <c r="A42" s="4" t="s">
        <v>43</v>
      </c>
      <c r="B42" s="1" t="s">
        <v>16</v>
      </c>
      <c r="C42" s="1" t="s">
        <v>17</v>
      </c>
      <c r="D42" s="1" t="s">
        <v>18</v>
      </c>
      <c r="E42" s="1" t="s">
        <v>19</v>
      </c>
      <c r="F42" s="1" t="s">
        <v>20</v>
      </c>
      <c r="G42" s="1" t="s">
        <v>19</v>
      </c>
      <c r="H42" s="1" t="s">
        <v>20</v>
      </c>
      <c r="L42" s="4" t="s">
        <v>43</v>
      </c>
      <c r="M42" s="1" t="s">
        <v>16</v>
      </c>
      <c r="N42" s="1" t="s">
        <v>17</v>
      </c>
      <c r="O42" s="1" t="s">
        <v>18</v>
      </c>
      <c r="P42" s="1" t="s">
        <v>19</v>
      </c>
      <c r="Q42" s="1" t="s">
        <v>20</v>
      </c>
      <c r="R42" s="1" t="s">
        <v>19</v>
      </c>
      <c r="S42" s="1" t="s">
        <v>20</v>
      </c>
    </row>
    <row r="43" spans="1:19" x14ac:dyDescent="0.35">
      <c r="A43" s="1" t="s">
        <v>47</v>
      </c>
      <c r="B43" s="1">
        <f xml:space="preserve"> 22.761</f>
        <v>22.760999999999999</v>
      </c>
      <c r="C43" s="1">
        <f xml:space="preserve"> 23.154</f>
        <v>23.154</v>
      </c>
      <c r="D43" s="1">
        <f xml:space="preserve"> 23.426</f>
        <v>23.425999999999998</v>
      </c>
      <c r="E43" s="1">
        <f xml:space="preserve"> AVERAGE(B43:D43)</f>
        <v>23.113666666666663</v>
      </c>
      <c r="F43" s="1">
        <f xml:space="preserve"> _xlfn.STDEV.S(B43:D43)</f>
        <v>0.33432967761377852</v>
      </c>
      <c r="G43" s="1">
        <f xml:space="preserve"> E43/$J$5 * 100</f>
        <v>7.9702298850574698</v>
      </c>
      <c r="H43" s="1">
        <f xml:space="preserve"> F43/$J$5 * 100</f>
        <v>0.11528609572888915</v>
      </c>
      <c r="L43" s="1" t="s">
        <v>47</v>
      </c>
      <c r="P43" s="1" t="e">
        <f xml:space="preserve"> AVERAGE(M43:O43)</f>
        <v>#DIV/0!</v>
      </c>
      <c r="Q43" s="1" t="e">
        <f xml:space="preserve"> _xlfn.STDEV.S(M43:O43)</f>
        <v>#DIV/0!</v>
      </c>
      <c r="R43" s="1" t="e">
        <f xml:space="preserve"> P43/$J$5 * 100</f>
        <v>#DIV/0!</v>
      </c>
      <c r="S43" s="1" t="e">
        <f xml:space="preserve"> Q43/$J$5 * 100</f>
        <v>#DIV/0!</v>
      </c>
    </row>
    <row r="44" spans="1:19" x14ac:dyDescent="0.35">
      <c r="A44" s="1" t="s">
        <v>48</v>
      </c>
      <c r="B44" s="1">
        <f xml:space="preserve"> 17.918</f>
        <v>17.917999999999999</v>
      </c>
      <c r="C44" s="1">
        <f xml:space="preserve"> 17.592</f>
        <v>17.591999999999999</v>
      </c>
      <c r="D44" s="1">
        <f xml:space="preserve"> 16.458</f>
        <v>16.457999999999998</v>
      </c>
      <c r="E44" s="1">
        <f t="shared" ref="E44" si="23" xml:space="preserve"> AVERAGE(B44:D44)</f>
        <v>17.322666666666667</v>
      </c>
      <c r="F44" s="1">
        <f t="shared" ref="F44" si="24" xml:space="preserve"> _xlfn.STDEV.S(B44:D44)</f>
        <v>0.76635848878532953</v>
      </c>
      <c r="G44" s="1">
        <f t="shared" ref="G44:H45" si="25" xml:space="preserve"> E44/$J$5 * 100</f>
        <v>5.9733333333333336</v>
      </c>
      <c r="H44" s="1">
        <f t="shared" si="25"/>
        <v>0.26426154785701023</v>
      </c>
      <c r="L44" s="1" t="s">
        <v>48</v>
      </c>
      <c r="P44" s="1" t="e">
        <f t="shared" ref="P44:P45" si="26" xml:space="preserve"> AVERAGE(M44:O44)</f>
        <v>#DIV/0!</v>
      </c>
      <c r="Q44" s="1" t="e">
        <f t="shared" ref="Q44:Q45" si="27" xml:space="preserve"> _xlfn.STDEV.S(M44:O44)</f>
        <v>#DIV/0!</v>
      </c>
      <c r="R44" s="1" t="e">
        <f t="shared" ref="R44:S45" si="28" xml:space="preserve"> P44/$J$5 * 100</f>
        <v>#DIV/0!</v>
      </c>
      <c r="S44" s="1" t="e">
        <f t="shared" si="28"/>
        <v>#DIV/0!</v>
      </c>
    </row>
    <row r="45" spans="1:19" x14ac:dyDescent="0.35">
      <c r="A45" s="1" t="s">
        <v>49</v>
      </c>
      <c r="B45" s="1">
        <f xml:space="preserve"> 18.533</f>
        <v>18.533000000000001</v>
      </c>
      <c r="C45" s="1">
        <f xml:space="preserve"> 18.314</f>
        <v>18.314</v>
      </c>
      <c r="D45" s="1">
        <f xml:space="preserve"> 17.456</f>
        <v>17.456</v>
      </c>
      <c r="E45" s="1">
        <f xml:space="preserve"> AVERAGE(B45:D45)</f>
        <v>18.100999999999999</v>
      </c>
      <c r="F45" s="1">
        <f xml:space="preserve"> _xlfn.STDEV.S(B45:D45)</f>
        <v>0.56921788446955957</v>
      </c>
      <c r="G45" s="1">
        <f t="shared" si="25"/>
        <v>6.2417241379310342</v>
      </c>
      <c r="H45" s="1">
        <f t="shared" si="25"/>
        <v>0.19628202912743434</v>
      </c>
      <c r="L45" s="1" t="s">
        <v>49</v>
      </c>
      <c r="P45" s="1" t="e">
        <f t="shared" si="26"/>
        <v>#DIV/0!</v>
      </c>
      <c r="Q45" s="1" t="e">
        <f t="shared" si="27"/>
        <v>#DIV/0!</v>
      </c>
      <c r="R45" s="1" t="e">
        <f t="shared" si="28"/>
        <v>#DIV/0!</v>
      </c>
      <c r="S45" s="1" t="e">
        <f t="shared" si="28"/>
        <v>#DIV/0!</v>
      </c>
    </row>
    <row r="48" spans="1:19" x14ac:dyDescent="0.35">
      <c r="A48" s="4"/>
      <c r="L48" s="4"/>
    </row>
    <row r="53" spans="1:12" ht="41.5" customHeight="1" x14ac:dyDescent="0.35"/>
    <row r="56" spans="1:12" x14ac:dyDescent="0.35">
      <c r="A56" s="4"/>
      <c r="L56" s="4"/>
    </row>
    <row r="57" spans="1:12" x14ac:dyDescent="0.35">
      <c r="A57" s="4"/>
      <c r="L57" s="4"/>
    </row>
    <row r="65" spans="1:12" x14ac:dyDescent="0.35">
      <c r="A65" s="4"/>
      <c r="L65" s="4"/>
    </row>
    <row r="66" spans="1:12" x14ac:dyDescent="0.35">
      <c r="A66" s="4"/>
      <c r="L66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zoomScale="70" zoomScaleNormal="70" workbookViewId="0">
      <selection activeCell="D1" sqref="D1"/>
    </sheetView>
  </sheetViews>
  <sheetFormatPr defaultRowHeight="14.5" x14ac:dyDescent="0.35"/>
  <cols>
    <col min="1" max="1" width="20.36328125" style="1" customWidth="1"/>
    <col min="2" max="2" width="14" style="1" customWidth="1"/>
    <col min="3" max="3" width="14.6328125" style="1" customWidth="1"/>
    <col min="4" max="4" width="12.08984375" style="1" customWidth="1"/>
    <col min="5" max="5" width="12.54296875" style="1" customWidth="1"/>
    <col min="6" max="6" width="8.453125" style="1" bestFit="1" customWidth="1"/>
    <col min="7" max="10" width="8.7265625" style="1"/>
    <col min="11" max="11" width="16.7265625" style="1" bestFit="1" customWidth="1"/>
    <col min="12" max="12" width="14" style="1" customWidth="1"/>
    <col min="13" max="13" width="14.7265625" style="1" customWidth="1"/>
    <col min="14" max="14" width="13.08984375" style="1" customWidth="1"/>
    <col min="15" max="16384" width="8.7265625" style="1"/>
  </cols>
  <sheetData>
    <row r="1" spans="1:18" ht="29" x14ac:dyDescent="0.35">
      <c r="A1" s="1" t="s">
        <v>11</v>
      </c>
      <c r="B1" s="1">
        <f xml:space="preserve"> 290</f>
        <v>290</v>
      </c>
      <c r="C1" s="1" t="s">
        <v>30</v>
      </c>
    </row>
    <row r="3" spans="1:18" ht="29" x14ac:dyDescent="0.35">
      <c r="A3" s="1" t="s">
        <v>0</v>
      </c>
      <c r="K3" s="1" t="s">
        <v>27</v>
      </c>
    </row>
    <row r="4" spans="1:18" x14ac:dyDescent="0.35">
      <c r="A4" s="1" t="s">
        <v>1</v>
      </c>
      <c r="B4" s="1" t="s">
        <v>4</v>
      </c>
      <c r="C4" s="1" t="s">
        <v>14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K4" s="1" t="s">
        <v>1</v>
      </c>
      <c r="L4" s="1" t="s">
        <v>4</v>
      </c>
      <c r="M4" s="1" t="s">
        <v>5</v>
      </c>
      <c r="N4" s="1" t="s">
        <v>6</v>
      </c>
      <c r="O4" s="1" t="s">
        <v>7</v>
      </c>
      <c r="P4" s="1" t="s">
        <v>8</v>
      </c>
      <c r="Q4" s="1" t="s">
        <v>9</v>
      </c>
      <c r="R4" s="1" t="s">
        <v>10</v>
      </c>
    </row>
    <row r="5" spans="1:18" x14ac:dyDescent="0.35">
      <c r="A5" s="1" t="s">
        <v>15</v>
      </c>
      <c r="C5" s="2"/>
      <c r="K5" s="1" t="s">
        <v>15</v>
      </c>
    </row>
    <row r="6" spans="1:18" x14ac:dyDescent="0.35">
      <c r="A6" s="1" t="s">
        <v>12</v>
      </c>
      <c r="K6" s="1" t="s">
        <v>12</v>
      </c>
    </row>
    <row r="7" spans="1:18" x14ac:dyDescent="0.35">
      <c r="A7" s="1" t="s">
        <v>2</v>
      </c>
      <c r="K7" s="1" t="s">
        <v>2</v>
      </c>
    </row>
    <row r="9" spans="1:18" ht="29" x14ac:dyDescent="0.35">
      <c r="A9" s="1" t="s">
        <v>3</v>
      </c>
      <c r="K9" s="1" t="s">
        <v>28</v>
      </c>
    </row>
    <row r="10" spans="1:18" x14ac:dyDescent="0.35">
      <c r="A10" s="1" t="s">
        <v>1</v>
      </c>
      <c r="B10" s="1" t="s">
        <v>4</v>
      </c>
      <c r="C10" s="1" t="s">
        <v>14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K10" s="1" t="s">
        <v>1</v>
      </c>
      <c r="L10" s="1" t="s">
        <v>4</v>
      </c>
      <c r="M10" s="1" t="s">
        <v>5</v>
      </c>
      <c r="N10" s="1" t="s">
        <v>6</v>
      </c>
      <c r="O10" s="1" t="s">
        <v>7</v>
      </c>
      <c r="P10" s="1" t="s">
        <v>8</v>
      </c>
      <c r="Q10" s="1" t="s">
        <v>9</v>
      </c>
      <c r="R10" s="1" t="s">
        <v>10</v>
      </c>
    </row>
    <row r="11" spans="1:18" x14ac:dyDescent="0.35">
      <c r="A11" s="1" t="s">
        <v>15</v>
      </c>
      <c r="K11" s="1" t="s">
        <v>15</v>
      </c>
    </row>
    <row r="12" spans="1:18" x14ac:dyDescent="0.35">
      <c r="A12" s="1" t="s">
        <v>12</v>
      </c>
      <c r="K12" s="1" t="s">
        <v>12</v>
      </c>
    </row>
    <row r="13" spans="1:18" x14ac:dyDescent="0.35">
      <c r="A13" s="1" t="s">
        <v>2</v>
      </c>
      <c r="K13" s="1" t="s">
        <v>2</v>
      </c>
    </row>
    <row r="15" spans="1:18" ht="29" x14ac:dyDescent="0.35">
      <c r="A15" s="1" t="s">
        <v>26</v>
      </c>
      <c r="K15" s="1" t="s">
        <v>29</v>
      </c>
    </row>
    <row r="16" spans="1:18" x14ac:dyDescent="0.35">
      <c r="A16" s="1" t="s">
        <v>1</v>
      </c>
      <c r="B16" s="1" t="s">
        <v>4</v>
      </c>
      <c r="D16" s="1" t="s">
        <v>5</v>
      </c>
      <c r="E16" s="1" t="s">
        <v>6</v>
      </c>
      <c r="F16" s="1" t="s">
        <v>7</v>
      </c>
      <c r="G16" s="1" t="s">
        <v>8</v>
      </c>
      <c r="H16" s="1" t="s">
        <v>9</v>
      </c>
      <c r="I16" s="1" t="s">
        <v>10</v>
      </c>
      <c r="K16" s="1" t="s">
        <v>1</v>
      </c>
      <c r="L16" s="1" t="s">
        <v>4</v>
      </c>
      <c r="M16" s="1" t="s">
        <v>5</v>
      </c>
      <c r="N16" s="1" t="s">
        <v>6</v>
      </c>
      <c r="O16" s="1" t="s">
        <v>7</v>
      </c>
      <c r="P16" s="1" t="s">
        <v>8</v>
      </c>
      <c r="Q16" s="1" t="s">
        <v>9</v>
      </c>
      <c r="R16" s="1" t="s">
        <v>10</v>
      </c>
    </row>
    <row r="17" spans="1:14" x14ac:dyDescent="0.35">
      <c r="A17" s="1" t="s">
        <v>15</v>
      </c>
      <c r="K17" s="1" t="s">
        <v>15</v>
      </c>
    </row>
    <row r="18" spans="1:14" x14ac:dyDescent="0.35">
      <c r="A18" s="1" t="s">
        <v>12</v>
      </c>
      <c r="K18" s="1" t="s">
        <v>12</v>
      </c>
    </row>
    <row r="19" spans="1:14" x14ac:dyDescent="0.35">
      <c r="A19" s="1" t="s">
        <v>2</v>
      </c>
      <c r="K19" s="1" t="s">
        <v>2</v>
      </c>
    </row>
    <row r="22" spans="1:14" x14ac:dyDescent="0.35">
      <c r="K22"/>
      <c r="L22"/>
      <c r="M22"/>
      <c r="N22"/>
    </row>
    <row r="23" spans="1:14" x14ac:dyDescent="0.35">
      <c r="K23"/>
      <c r="L23"/>
      <c r="M23"/>
      <c r="N23"/>
    </row>
    <row r="24" spans="1:14" x14ac:dyDescent="0.35">
      <c r="K24"/>
      <c r="L24"/>
      <c r="M24"/>
      <c r="N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F512-0B56-457C-A122-4C624F6EE9CE}">
  <dimension ref="A1:R24"/>
  <sheetViews>
    <sheetView topLeftCell="A2" zoomScale="70" zoomScaleNormal="70" workbookViewId="0">
      <selection activeCell="H9" sqref="H9"/>
    </sheetView>
  </sheetViews>
  <sheetFormatPr defaultRowHeight="14.5" x14ac:dyDescent="0.35"/>
  <cols>
    <col min="1" max="1" width="20.36328125" style="1" customWidth="1"/>
    <col min="2" max="5" width="9.81640625" style="1" bestFit="1" customWidth="1"/>
    <col min="6" max="6" width="8.453125" style="1" bestFit="1" customWidth="1"/>
    <col min="7" max="10" width="8.7265625" style="1"/>
    <col min="11" max="11" width="16.7265625" style="1" bestFit="1" customWidth="1"/>
    <col min="12" max="13" width="9.81640625" style="1" bestFit="1" customWidth="1"/>
    <col min="14" max="14" width="11.1796875" style="1" customWidth="1"/>
    <col min="15" max="16384" width="8.7265625" style="1"/>
  </cols>
  <sheetData>
    <row r="1" spans="1:18" ht="29" x14ac:dyDescent="0.35">
      <c r="A1" s="1" t="s">
        <v>11</v>
      </c>
      <c r="B1" s="1">
        <f xml:space="preserve"> 290</f>
        <v>290</v>
      </c>
      <c r="C1" s="1" t="s">
        <v>30</v>
      </c>
    </row>
    <row r="3" spans="1:18" ht="29" x14ac:dyDescent="0.35">
      <c r="A3" s="1" t="s">
        <v>0</v>
      </c>
      <c r="K3" s="1" t="s">
        <v>27</v>
      </c>
    </row>
    <row r="4" spans="1:18" x14ac:dyDescent="0.35">
      <c r="A4" s="1" t="s">
        <v>1</v>
      </c>
      <c r="B4" s="1" t="s">
        <v>4</v>
      </c>
      <c r="C4" s="1" t="s">
        <v>14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K4" s="1" t="s">
        <v>1</v>
      </c>
      <c r="L4" s="1" t="s">
        <v>4</v>
      </c>
      <c r="M4" s="1" t="s">
        <v>5</v>
      </c>
      <c r="N4" s="1" t="s">
        <v>6</v>
      </c>
      <c r="O4" s="1" t="s">
        <v>7</v>
      </c>
      <c r="P4" s="1" t="s">
        <v>8</v>
      </c>
      <c r="Q4" s="1" t="s">
        <v>9</v>
      </c>
      <c r="R4" s="1" t="s">
        <v>10</v>
      </c>
    </row>
    <row r="5" spans="1:18" x14ac:dyDescent="0.35">
      <c r="A5" s="1" t="s">
        <v>15</v>
      </c>
      <c r="C5" s="2"/>
      <c r="K5" s="1" t="s">
        <v>15</v>
      </c>
    </row>
    <row r="6" spans="1:18" x14ac:dyDescent="0.35">
      <c r="A6" s="1" t="s">
        <v>12</v>
      </c>
      <c r="K6" s="1" t="s">
        <v>12</v>
      </c>
    </row>
    <row r="7" spans="1:18" x14ac:dyDescent="0.35">
      <c r="A7" s="1" t="s">
        <v>2</v>
      </c>
      <c r="K7" s="1" t="s">
        <v>2</v>
      </c>
    </row>
    <row r="9" spans="1:18" ht="29" x14ac:dyDescent="0.35">
      <c r="A9" s="1" t="s">
        <v>3</v>
      </c>
      <c r="K9" s="1" t="s">
        <v>28</v>
      </c>
    </row>
    <row r="10" spans="1:18" x14ac:dyDescent="0.35">
      <c r="A10" s="1" t="s">
        <v>1</v>
      </c>
      <c r="B10" s="1" t="s">
        <v>4</v>
      </c>
      <c r="C10" s="1" t="s">
        <v>14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K10" s="1" t="s">
        <v>1</v>
      </c>
      <c r="L10" s="1" t="s">
        <v>4</v>
      </c>
      <c r="M10" s="1" t="s">
        <v>5</v>
      </c>
      <c r="N10" s="1" t="s">
        <v>6</v>
      </c>
      <c r="O10" s="1" t="s">
        <v>7</v>
      </c>
      <c r="P10" s="1" t="s">
        <v>8</v>
      </c>
      <c r="Q10" s="1" t="s">
        <v>9</v>
      </c>
      <c r="R10" s="1" t="s">
        <v>10</v>
      </c>
    </row>
    <row r="11" spans="1:18" x14ac:dyDescent="0.35">
      <c r="A11" s="1" t="s">
        <v>15</v>
      </c>
      <c r="K11" s="1" t="s">
        <v>15</v>
      </c>
    </row>
    <row r="12" spans="1:18" x14ac:dyDescent="0.35">
      <c r="A12" s="1" t="s">
        <v>12</v>
      </c>
      <c r="K12" s="1" t="s">
        <v>12</v>
      </c>
    </row>
    <row r="13" spans="1:18" x14ac:dyDescent="0.35">
      <c r="A13" s="1" t="s">
        <v>2</v>
      </c>
      <c r="K13" s="1" t="s">
        <v>2</v>
      </c>
    </row>
    <row r="15" spans="1:18" ht="29" x14ac:dyDescent="0.35">
      <c r="A15" s="1" t="s">
        <v>26</v>
      </c>
      <c r="K15" s="1" t="s">
        <v>29</v>
      </c>
    </row>
    <row r="16" spans="1:18" x14ac:dyDescent="0.35">
      <c r="A16" s="1" t="s">
        <v>1</v>
      </c>
      <c r="B16" s="1" t="s">
        <v>4</v>
      </c>
      <c r="D16" s="1" t="s">
        <v>5</v>
      </c>
      <c r="E16" s="1" t="s">
        <v>6</v>
      </c>
      <c r="F16" s="1" t="s">
        <v>7</v>
      </c>
      <c r="G16" s="1" t="s">
        <v>8</v>
      </c>
      <c r="H16" s="1" t="s">
        <v>9</v>
      </c>
      <c r="I16" s="1" t="s">
        <v>10</v>
      </c>
      <c r="K16" s="1" t="s">
        <v>1</v>
      </c>
      <c r="L16" s="1" t="s">
        <v>4</v>
      </c>
      <c r="M16" s="1" t="s">
        <v>5</v>
      </c>
      <c r="N16" s="1" t="s">
        <v>6</v>
      </c>
      <c r="O16" s="1" t="s">
        <v>7</v>
      </c>
      <c r="P16" s="1" t="s">
        <v>8</v>
      </c>
      <c r="Q16" s="1" t="s">
        <v>9</v>
      </c>
      <c r="R16" s="1" t="s">
        <v>10</v>
      </c>
    </row>
    <row r="17" spans="1:14" x14ac:dyDescent="0.35">
      <c r="A17" s="1" t="s">
        <v>15</v>
      </c>
      <c r="K17" s="1" t="s">
        <v>15</v>
      </c>
    </row>
    <row r="18" spans="1:14" x14ac:dyDescent="0.35">
      <c r="A18" s="1" t="s">
        <v>12</v>
      </c>
      <c r="K18" s="1" t="s">
        <v>12</v>
      </c>
    </row>
    <row r="19" spans="1:14" x14ac:dyDescent="0.35">
      <c r="A19" s="1" t="s">
        <v>2</v>
      </c>
      <c r="K19" s="1" t="s">
        <v>2</v>
      </c>
    </row>
    <row r="22" spans="1:14" x14ac:dyDescent="0.35">
      <c r="K22"/>
      <c r="L22"/>
      <c r="M22"/>
      <c r="N22"/>
    </row>
    <row r="23" spans="1:14" x14ac:dyDescent="0.35">
      <c r="K23"/>
      <c r="L23"/>
      <c r="M23"/>
      <c r="N23"/>
    </row>
    <row r="24" spans="1:14" x14ac:dyDescent="0.35">
      <c r="K24"/>
      <c r="L24"/>
      <c r="M24"/>
      <c r="N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DataAnalysis_A5</vt:lpstr>
      <vt:lpstr>DataAnalysis_A3</vt:lpstr>
      <vt:lpstr>Results_FirstHeatingCurve</vt:lpstr>
      <vt:lpstr>Results_SecondHeatingCurve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Liu</dc:creator>
  <cp:lastModifiedBy>Alan Liu</cp:lastModifiedBy>
  <dcterms:created xsi:type="dcterms:W3CDTF">2015-06-05T18:17:20Z</dcterms:created>
  <dcterms:modified xsi:type="dcterms:W3CDTF">2025-05-12T21:54:45Z</dcterms:modified>
</cp:coreProperties>
</file>