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Shared drives\Dauskardt-Lab\Liu_Alan\DuraMAT_Research\Experimental_Data\"/>
    </mc:Choice>
  </mc:AlternateContent>
  <xr:revisionPtr revIDLastSave="0" documentId="13_ncr:1_{53E217EA-E38E-4E19-97D9-5607CBA38E04}" xr6:coauthVersionLast="47" xr6:coauthVersionMax="47" xr10:uidLastSave="{00000000-0000-0000-0000-000000000000}"/>
  <bookViews>
    <workbookView xWindow="7080" yWindow="890" windowWidth="12920" windowHeight="9660" activeTab="2" xr2:uid="{00000000-000D-0000-FFFF-FFFF00000000}"/>
  </bookViews>
  <sheets>
    <sheet name="Summary" sheetId="3" r:id="rId1"/>
    <sheet name="A5" sheetId="2" r:id="rId2"/>
    <sheet name="A3" sheetId="4" r:id="rId3"/>
    <sheet name="90C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4" l="1"/>
  <c r="K26" i="4"/>
  <c r="J26" i="4"/>
  <c r="R26" i="4"/>
  <c r="Q26" i="4"/>
  <c r="I26" i="4"/>
  <c r="S21" i="4"/>
  <c r="U21" i="4" s="1"/>
  <c r="K21" i="4"/>
  <c r="J21" i="4"/>
  <c r="R21" i="4"/>
  <c r="I21" i="4"/>
  <c r="Q21" i="4"/>
  <c r="K16" i="4"/>
  <c r="S16" i="4"/>
  <c r="J16" i="4"/>
  <c r="R16" i="4"/>
  <c r="I16" i="4"/>
  <c r="Q16" i="4"/>
  <c r="K11" i="4"/>
  <c r="S11" i="4"/>
  <c r="J11" i="4"/>
  <c r="R11" i="4"/>
  <c r="Q11" i="4"/>
  <c r="I11" i="4"/>
  <c r="M11" i="4" s="1"/>
  <c r="L15" i="2"/>
  <c r="T15" i="2"/>
  <c r="K15" i="2"/>
  <c r="S15" i="2"/>
  <c r="R15" i="2"/>
  <c r="J15" i="2"/>
  <c r="T14" i="2"/>
  <c r="L14" i="2"/>
  <c r="S14" i="2"/>
  <c r="K14" i="2"/>
  <c r="J14" i="2"/>
  <c r="R14" i="2"/>
  <c r="L16" i="2"/>
  <c r="T16" i="2"/>
  <c r="K16" i="2"/>
  <c r="S16" i="2"/>
  <c r="R16" i="2"/>
  <c r="J16" i="2"/>
  <c r="V16" i="2"/>
  <c r="N16" i="2"/>
  <c r="N15" i="2"/>
  <c r="S25" i="4"/>
  <c r="K25" i="4"/>
  <c r="R25" i="4"/>
  <c r="J25" i="4"/>
  <c r="I25" i="4"/>
  <c r="Q25" i="4"/>
  <c r="S20" i="4"/>
  <c r="K20" i="4"/>
  <c r="R20" i="4"/>
  <c r="J20" i="4"/>
  <c r="I20" i="4"/>
  <c r="Q20" i="4"/>
  <c r="K15" i="4"/>
  <c r="S15" i="4"/>
  <c r="J15" i="4"/>
  <c r="R15" i="4"/>
  <c r="Q15" i="4"/>
  <c r="I15" i="4"/>
  <c r="K10" i="4"/>
  <c r="S10" i="4"/>
  <c r="J10" i="4"/>
  <c r="R10" i="4"/>
  <c r="U10" i="4" s="1"/>
  <c r="Q10" i="4"/>
  <c r="I10" i="4"/>
  <c r="K24" i="4"/>
  <c r="S24" i="4"/>
  <c r="J24" i="4"/>
  <c r="R24" i="4"/>
  <c r="Q24" i="4"/>
  <c r="I24" i="4"/>
  <c r="S19" i="4"/>
  <c r="K19" i="4"/>
  <c r="J19" i="4"/>
  <c r="R19" i="4"/>
  <c r="I19" i="4"/>
  <c r="Q19" i="4"/>
  <c r="K14" i="4"/>
  <c r="S14" i="4"/>
  <c r="R14" i="4"/>
  <c r="J14" i="4"/>
  <c r="I14" i="4"/>
  <c r="Q14" i="4"/>
  <c r="K9" i="4"/>
  <c r="S9" i="4"/>
  <c r="J9" i="4"/>
  <c r="R9" i="4"/>
  <c r="I9" i="4"/>
  <c r="Q9" i="4"/>
  <c r="U26" i="4"/>
  <c r="T26" i="4"/>
  <c r="M26" i="4"/>
  <c r="U25" i="4"/>
  <c r="U24" i="4"/>
  <c r="M24" i="4"/>
  <c r="L24" i="4"/>
  <c r="L21" i="4"/>
  <c r="U20" i="4"/>
  <c r="M20" i="4"/>
  <c r="M19" i="4"/>
  <c r="L19" i="4"/>
  <c r="M16" i="4"/>
  <c r="U15" i="4"/>
  <c r="T15" i="4"/>
  <c r="L15" i="4"/>
  <c r="M15" i="4"/>
  <c r="U14" i="4"/>
  <c r="M14" i="4"/>
  <c r="L14" i="4"/>
  <c r="U11" i="4"/>
  <c r="T11" i="4"/>
  <c r="M10" i="4"/>
  <c r="U9" i="4"/>
  <c r="M9" i="4"/>
  <c r="L9" i="4"/>
  <c r="T6" i="2"/>
  <c r="L6" i="2"/>
  <c r="K6" i="2"/>
  <c r="S6" i="2"/>
  <c r="J6" i="2"/>
  <c r="R6" i="2"/>
  <c r="T21" i="4" l="1"/>
  <c r="U16" i="4"/>
  <c r="N14" i="2"/>
  <c r="M16" i="2"/>
  <c r="M15" i="2"/>
  <c r="V15" i="2"/>
  <c r="U14" i="2"/>
  <c r="V14" i="2"/>
  <c r="U15" i="2"/>
  <c r="M14" i="2"/>
  <c r="U16" i="2"/>
  <c r="L25" i="4"/>
  <c r="T19" i="4"/>
  <c r="M25" i="4"/>
  <c r="L26" i="4"/>
  <c r="T25" i="4"/>
  <c r="T24" i="4"/>
  <c r="M21" i="4"/>
  <c r="U19" i="4"/>
  <c r="L20" i="4"/>
  <c r="T20" i="4"/>
  <c r="T16" i="4"/>
  <c r="L16" i="4"/>
  <c r="T14" i="4"/>
  <c r="L11" i="4"/>
  <c r="T10" i="4"/>
  <c r="L10" i="4"/>
  <c r="T9" i="4"/>
  <c r="T25" i="7"/>
  <c r="S25" i="7"/>
  <c r="R25" i="7"/>
  <c r="T24" i="7"/>
  <c r="S24" i="7"/>
  <c r="R24" i="7"/>
  <c r="T26" i="7"/>
  <c r="S26" i="7"/>
  <c r="R26" i="7"/>
  <c r="T20" i="7"/>
  <c r="S20" i="7"/>
  <c r="R20" i="7"/>
  <c r="T19" i="7"/>
  <c r="S19" i="7"/>
  <c r="R19" i="7"/>
  <c r="T21" i="7"/>
  <c r="S21" i="7"/>
  <c r="R21" i="7"/>
  <c r="T16" i="7"/>
  <c r="S16" i="7"/>
  <c r="R16" i="7"/>
  <c r="T15" i="7"/>
  <c r="S15" i="7"/>
  <c r="R15" i="7"/>
  <c r="T14" i="7"/>
  <c r="S14" i="7"/>
  <c r="R14" i="7"/>
  <c r="T10" i="7"/>
  <c r="S10" i="7"/>
  <c r="R10" i="7"/>
  <c r="T9" i="7"/>
  <c r="S9" i="7"/>
  <c r="R9" i="7"/>
  <c r="T11" i="7"/>
  <c r="S11" i="7"/>
  <c r="R11" i="7"/>
  <c r="T5" i="7"/>
  <c r="S5" i="7"/>
  <c r="R5" i="7"/>
  <c r="T4" i="7"/>
  <c r="S4" i="7"/>
  <c r="R4" i="7"/>
  <c r="T6" i="7"/>
  <c r="S6" i="7"/>
  <c r="R6" i="7"/>
  <c r="V26" i="7" l="1"/>
  <c r="U26" i="7"/>
  <c r="V25" i="7"/>
  <c r="U25" i="7"/>
  <c r="V24" i="7"/>
  <c r="U24" i="7"/>
  <c r="V21" i="7"/>
  <c r="U21" i="7"/>
  <c r="V20" i="7"/>
  <c r="U20" i="7"/>
  <c r="V19" i="7"/>
  <c r="U19" i="7"/>
  <c r="V16" i="7"/>
  <c r="U16" i="7"/>
  <c r="V15" i="7"/>
  <c r="U15" i="7"/>
  <c r="V14" i="7"/>
  <c r="U14" i="7"/>
  <c r="V11" i="7"/>
  <c r="U11" i="7"/>
  <c r="V10" i="7"/>
  <c r="U10" i="7"/>
  <c r="V9" i="7"/>
  <c r="U9" i="7"/>
  <c r="V6" i="7"/>
  <c r="U6" i="7"/>
  <c r="V5" i="7"/>
  <c r="U5" i="7"/>
  <c r="U4" i="7"/>
  <c r="V4" i="7"/>
  <c r="V31" i="7"/>
  <c r="U31" i="7"/>
  <c r="T31" i="7"/>
  <c r="S31" i="7"/>
  <c r="R31" i="7"/>
  <c r="K5" i="4"/>
  <c r="S5" i="4"/>
  <c r="R5" i="4"/>
  <c r="J5" i="4"/>
  <c r="I5" i="4"/>
  <c r="Q5" i="4"/>
  <c r="S4" i="4"/>
  <c r="K4" i="4"/>
  <c r="J4" i="4"/>
  <c r="R4" i="4"/>
  <c r="Q4" i="4"/>
  <c r="I4" i="4"/>
  <c r="K6" i="4"/>
  <c r="S6" i="4"/>
  <c r="J6" i="4"/>
  <c r="R6" i="4"/>
  <c r="I6" i="4"/>
  <c r="Q6" i="4"/>
  <c r="J35" i="2"/>
  <c r="L35" i="2"/>
  <c r="K35" i="2"/>
  <c r="L30" i="2"/>
  <c r="T30" i="2"/>
  <c r="K30" i="2"/>
  <c r="S30" i="2"/>
  <c r="R30" i="2"/>
  <c r="V30" i="2" s="1"/>
  <c r="J30" i="2"/>
  <c r="L29" i="2"/>
  <c r="T29" i="2"/>
  <c r="K29" i="2"/>
  <c r="S29" i="2"/>
  <c r="J29" i="2"/>
  <c r="R29" i="2"/>
  <c r="L31" i="2"/>
  <c r="T31" i="2"/>
  <c r="K31" i="2"/>
  <c r="S31" i="2"/>
  <c r="J31" i="2"/>
  <c r="R31" i="2"/>
  <c r="L25" i="2"/>
  <c r="T25" i="2"/>
  <c r="S25" i="2"/>
  <c r="J25" i="2"/>
  <c r="K25" i="2"/>
  <c r="R25" i="2"/>
  <c r="T24" i="2"/>
  <c r="L24" i="2"/>
  <c r="K24" i="2"/>
  <c r="S24" i="2"/>
  <c r="J24" i="2"/>
  <c r="R24" i="2"/>
  <c r="T26" i="2"/>
  <c r="L26" i="2"/>
  <c r="K26" i="2"/>
  <c r="S26" i="2"/>
  <c r="J26" i="2"/>
  <c r="R26" i="2"/>
  <c r="T20" i="2"/>
  <c r="S20" i="2"/>
  <c r="R20" i="2"/>
  <c r="L21" i="2"/>
  <c r="L20" i="2"/>
  <c r="K20" i="2"/>
  <c r="M20" i="2" s="1"/>
  <c r="J20" i="2"/>
  <c r="T19" i="2"/>
  <c r="S19" i="2"/>
  <c r="K19" i="2"/>
  <c r="R19" i="2"/>
  <c r="J19" i="2"/>
  <c r="T21" i="2"/>
  <c r="S21" i="2"/>
  <c r="K21" i="2"/>
  <c r="J21" i="2"/>
  <c r="R21" i="2"/>
  <c r="L10" i="2"/>
  <c r="T10" i="2"/>
  <c r="K10" i="2"/>
  <c r="S10" i="2"/>
  <c r="J10" i="2"/>
  <c r="R10" i="2"/>
  <c r="L9" i="2"/>
  <c r="T9" i="2"/>
  <c r="S9" i="2"/>
  <c r="K9" i="2"/>
  <c r="J9" i="2"/>
  <c r="R9" i="2"/>
  <c r="L11" i="2"/>
  <c r="T11" i="2"/>
  <c r="S11" i="2"/>
  <c r="K11" i="2"/>
  <c r="R11" i="2"/>
  <c r="J11" i="2"/>
  <c r="V30" i="7"/>
  <c r="U30" i="7"/>
  <c r="T30" i="7"/>
  <c r="S30" i="7"/>
  <c r="R30" i="7"/>
  <c r="V29" i="7"/>
  <c r="U29" i="7"/>
  <c r="T29" i="7"/>
  <c r="S29" i="7"/>
  <c r="R29" i="7"/>
  <c r="U31" i="4"/>
  <c r="T31" i="4"/>
  <c r="S31" i="4"/>
  <c r="R31" i="4"/>
  <c r="Q31" i="4"/>
  <c r="K31" i="4"/>
  <c r="J31" i="4"/>
  <c r="I31" i="4"/>
  <c r="M31" i="4" s="1"/>
  <c r="S30" i="4"/>
  <c r="R30" i="4"/>
  <c r="Q30" i="4"/>
  <c r="U30" i="4" s="1"/>
  <c r="K30" i="4"/>
  <c r="L30" i="4" s="1"/>
  <c r="J30" i="4"/>
  <c r="I30" i="4"/>
  <c r="M30" i="4" s="1"/>
  <c r="S29" i="4"/>
  <c r="R29" i="4"/>
  <c r="Q29" i="4"/>
  <c r="K29" i="4"/>
  <c r="J29" i="4"/>
  <c r="I29" i="4"/>
  <c r="M29" i="4" s="1"/>
  <c r="M19" i="2" l="1"/>
  <c r="U19" i="2"/>
  <c r="V25" i="2"/>
  <c r="N31" i="2"/>
  <c r="M29" i="2"/>
  <c r="V29" i="2"/>
  <c r="N26" i="2"/>
  <c r="M21" i="2"/>
  <c r="M31" i="2"/>
  <c r="N19" i="2"/>
  <c r="U30" i="2"/>
  <c r="N29" i="2"/>
  <c r="V31" i="2"/>
  <c r="V19" i="2"/>
  <c r="U20" i="2"/>
  <c r="N30" i="2"/>
  <c r="N20" i="2"/>
  <c r="U31" i="2"/>
  <c r="V26" i="2"/>
  <c r="V20" i="2"/>
  <c r="U24" i="2"/>
  <c r="V21" i="2"/>
  <c r="N24" i="2"/>
  <c r="M24" i="2"/>
  <c r="L31" i="4"/>
  <c r="T29" i="4"/>
  <c r="M30" i="2"/>
  <c r="N25" i="2"/>
  <c r="U25" i="2"/>
  <c r="M25" i="2"/>
  <c r="V24" i="2"/>
  <c r="M26" i="2"/>
  <c r="U21" i="2"/>
  <c r="N21" i="2"/>
  <c r="U29" i="2"/>
  <c r="U26" i="2"/>
  <c r="U29" i="4"/>
  <c r="T30" i="4"/>
  <c r="L29" i="4"/>
  <c r="U6" i="4"/>
  <c r="T6" i="4"/>
  <c r="M6" i="4"/>
  <c r="L6" i="4"/>
  <c r="U5" i="4"/>
  <c r="T5" i="4"/>
  <c r="M5" i="4"/>
  <c r="L5" i="4"/>
  <c r="U4" i="4"/>
  <c r="T4" i="4"/>
  <c r="M4" i="4"/>
  <c r="L4" i="4"/>
  <c r="V11" i="2"/>
  <c r="M11" i="2"/>
  <c r="N11" i="2"/>
  <c r="V10" i="2"/>
  <c r="N10" i="2"/>
  <c r="M10" i="2"/>
  <c r="V9" i="2"/>
  <c r="M9" i="2"/>
  <c r="N9" i="2"/>
  <c r="T34" i="2"/>
  <c r="S34" i="2"/>
  <c r="R34" i="2"/>
  <c r="T36" i="2"/>
  <c r="S36" i="2"/>
  <c r="R36" i="2"/>
  <c r="T35" i="2"/>
  <c r="S35" i="2"/>
  <c r="R35" i="2"/>
  <c r="T5" i="2"/>
  <c r="S5" i="2"/>
  <c r="R5" i="2"/>
  <c r="T4" i="2"/>
  <c r="S4" i="2"/>
  <c r="R4" i="2"/>
  <c r="U10" i="2" l="1"/>
  <c r="U9" i="2"/>
  <c r="U11" i="2"/>
  <c r="V36" i="2" l="1"/>
  <c r="U36" i="2"/>
  <c r="V35" i="2"/>
  <c r="U35" i="2"/>
  <c r="U34" i="2"/>
  <c r="V6" i="2"/>
  <c r="V5" i="2"/>
  <c r="U5" i="2"/>
  <c r="V4" i="2"/>
  <c r="L34" i="2"/>
  <c r="K34" i="2"/>
  <c r="J34" i="2"/>
  <c r="N35" i="2"/>
  <c r="N34" i="2"/>
  <c r="L36" i="2"/>
  <c r="M35" i="2"/>
  <c r="K36" i="2"/>
  <c r="J36" i="2"/>
  <c r="M36" i="2" l="1"/>
  <c r="N36" i="2"/>
  <c r="M34" i="2"/>
  <c r="U4" i="2"/>
  <c r="V34" i="2"/>
  <c r="U6" i="2"/>
  <c r="D5" i="2"/>
  <c r="C5" i="2"/>
  <c r="B5" i="2"/>
  <c r="D4" i="2"/>
  <c r="C4" i="2"/>
  <c r="B4" i="2"/>
  <c r="D6" i="2"/>
  <c r="C6" i="2"/>
  <c r="B6" i="2"/>
  <c r="L5" i="2"/>
  <c r="K5" i="2"/>
  <c r="J5" i="2"/>
  <c r="L4" i="2"/>
  <c r="K4" i="2"/>
  <c r="J4" i="2"/>
  <c r="F6" i="2" l="1"/>
  <c r="E6" i="2"/>
  <c r="AB5" i="2" s="1"/>
  <c r="E4" i="2"/>
  <c r="Z5" i="2" s="1"/>
  <c r="N4" i="2"/>
  <c r="E5" i="2"/>
  <c r="AA5" i="2" s="1"/>
  <c r="N6" i="2"/>
  <c r="N5" i="2"/>
  <c r="F4" i="2"/>
  <c r="M5" i="2"/>
  <c r="F5" i="2"/>
  <c r="M4" i="2"/>
  <c r="M6" i="2"/>
  <c r="AC5" i="2" l="1"/>
  <c r="AD5" i="2" s="1"/>
</calcChain>
</file>

<file path=xl/sharedStrings.xml><?xml version="1.0" encoding="utf-8"?>
<sst xmlns="http://schemas.openxmlformats.org/spreadsheetml/2006/main" count="444" uniqueCount="46">
  <si>
    <t>Trial 1</t>
  </si>
  <si>
    <t>Trial 2</t>
  </si>
  <si>
    <t>Trial 3</t>
  </si>
  <si>
    <t>Average</t>
  </si>
  <si>
    <t>Std. dev</t>
  </si>
  <si>
    <t>Unaged samples</t>
  </si>
  <si>
    <t>EVA 5x cured</t>
  </si>
  <si>
    <t>POE 5x cured</t>
  </si>
  <si>
    <t>EPE 5x cured</t>
  </si>
  <si>
    <t>"Lower Tg indicates undercure"</t>
  </si>
  <si>
    <t>Tg (glass transition temperature)</t>
  </si>
  <si>
    <t>Tc (crystallization temperature)</t>
  </si>
  <si>
    <t>1 hr aged samples</t>
  </si>
  <si>
    <t>Tg, EVA</t>
  </si>
  <si>
    <t>Tg, POE</t>
  </si>
  <si>
    <t>Tg, EPE</t>
  </si>
  <si>
    <t>w_EVA</t>
  </si>
  <si>
    <t>w_POE</t>
  </si>
  <si>
    <t>From the Tg data from 1-hr aged samples, we can conclude:</t>
  </si>
  <si>
    <t>Fox-Flory equation for polymer blends can estimate the weight % EVA vs. POE</t>
  </si>
  <si>
    <t>A5 5k-hrs aged samples</t>
  </si>
  <si>
    <t>A3 5k-hrs aged samples</t>
  </si>
  <si>
    <t>Higher chain scission, the higher the Tg</t>
  </si>
  <si>
    <t>Higher chain scission, the higher the Tc</t>
  </si>
  <si>
    <t>First cooling curve at a rate of 10 C/min cooling from 120 C to 0 C. Take peak as Tc</t>
  </si>
  <si>
    <t>First cooling curve at a rate of 10 C/min cooling from 120 C to 0 C. Take ONSET as the Tc</t>
  </si>
  <si>
    <t>Greater the degree of X-linking, lower the Tc. More chain scission, higher the Tc</t>
  </si>
  <si>
    <t>The onset should be taken from the crystallization peak to +15 degrees Celsius</t>
  </si>
  <si>
    <t>Onset Tc (crystallization temperature)</t>
  </si>
  <si>
    <t>A5 500-hr aged samples</t>
  </si>
  <si>
    <t>A3 500-hrs aged samples</t>
  </si>
  <si>
    <t>A5 2k-hr aged samples</t>
  </si>
  <si>
    <t>A5 3k-hr aged samples</t>
  </si>
  <si>
    <t>A5 4k-hr aged samples</t>
  </si>
  <si>
    <t>90C 2-wks aged samples</t>
  </si>
  <si>
    <t>90C 30-wks aged samples</t>
  </si>
  <si>
    <t>90C 4-wks aged samples</t>
  </si>
  <si>
    <t>90C 8-wks aged samples</t>
  </si>
  <si>
    <t>90C 14-wks aged samples</t>
  </si>
  <si>
    <t>90C 20-wks aged samples</t>
  </si>
  <si>
    <t>Note: Take EPE "unaged" data from 1 hr oxidative aged samples</t>
  </si>
  <si>
    <t>A3 1k-hrs aged samples</t>
  </si>
  <si>
    <t>A3 2k-hrs aged samples</t>
  </si>
  <si>
    <t>A3 3k-hrs aged samples</t>
  </si>
  <si>
    <t>A3 4k-hrs aged samples</t>
  </si>
  <si>
    <t>A5 1k-hr aged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</si>
</sst>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744483</xdr:colOff>
      <xdr:row>7</xdr:row>
      <xdr:rowOff>102183</xdr:rowOff>
    </xdr:from>
    <xdr:to>
      <xdr:col>31</xdr:col>
      <xdr:colOff>402564</xdr:colOff>
      <xdr:row>14</xdr:row>
      <xdr:rowOff>43793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6329B-5D31-4012-9CB2-5ACFF7EF4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4605574"/>
          <a:ext cx="3445053" cy="121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545F-F059-4195-9F7F-0FD724E94BE2}">
  <dimension ref="A1"/>
  <sheetViews>
    <sheetView workbookViewId="0">
      <selection activeCell="E11" sqref="E11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9DA5-5369-4655-AE34-D6F05294E3A0}">
  <dimension ref="A1:AD36"/>
  <sheetViews>
    <sheetView topLeftCell="M2" zoomScale="70" zoomScaleNormal="70" workbookViewId="0">
      <selection activeCell="S16" sqref="S16"/>
    </sheetView>
  </sheetViews>
  <sheetFormatPr defaultRowHeight="14.5" x14ac:dyDescent="0.35"/>
  <cols>
    <col min="1" max="1" width="23.90625" style="1" customWidth="1"/>
    <col min="2" max="4" width="8.81640625" style="1" bestFit="1" customWidth="1"/>
    <col min="5" max="5" width="12.54296875" style="1" bestFit="1" customWidth="1"/>
    <col min="6" max="6" width="11.90625" style="1" bestFit="1" customWidth="1"/>
    <col min="7" max="8" width="8.7265625" style="1"/>
    <col min="9" max="9" width="21.7265625" style="1" customWidth="1"/>
    <col min="10" max="10" width="10" style="1" customWidth="1"/>
    <col min="11" max="11" width="8.36328125" style="1" customWidth="1"/>
    <col min="12" max="12" width="6.81640625" style="1" bestFit="1" customWidth="1"/>
    <col min="13" max="14" width="11.90625" style="1" bestFit="1" customWidth="1"/>
    <col min="15" max="16" width="8.7265625" style="1"/>
    <col min="17" max="17" width="22.26953125" style="1" customWidth="1"/>
    <col min="18" max="18" width="9.81640625" style="1" customWidth="1"/>
    <col min="19" max="19" width="8.36328125" style="1" customWidth="1"/>
    <col min="20" max="20" width="6.81640625" style="1" bestFit="1" customWidth="1"/>
    <col min="21" max="22" width="11.90625" style="1" bestFit="1" customWidth="1"/>
    <col min="23" max="16384" width="8.7265625" style="1"/>
  </cols>
  <sheetData>
    <row r="1" spans="1:30" ht="26.5" customHeight="1" x14ac:dyDescent="0.35">
      <c r="A1" s="2" t="s">
        <v>10</v>
      </c>
      <c r="C1"/>
      <c r="I1" s="2" t="s">
        <v>11</v>
      </c>
      <c r="J1" t="s">
        <v>24</v>
      </c>
      <c r="K1"/>
      <c r="Q1" s="2" t="s">
        <v>28</v>
      </c>
      <c r="R1" t="s">
        <v>25</v>
      </c>
      <c r="S1"/>
    </row>
    <row r="2" spans="1:30" ht="58" x14ac:dyDescent="0.35">
      <c r="A2" s="3" t="s">
        <v>9</v>
      </c>
      <c r="B2" t="s">
        <v>22</v>
      </c>
      <c r="C2"/>
      <c r="I2" s="1" t="s">
        <v>26</v>
      </c>
      <c r="J2" t="s">
        <v>23</v>
      </c>
      <c r="K2"/>
      <c r="Q2" s="1" t="s">
        <v>26</v>
      </c>
      <c r="R2" t="s">
        <v>27</v>
      </c>
      <c r="S2"/>
      <c r="Z2" t="s">
        <v>19</v>
      </c>
    </row>
    <row r="3" spans="1:30" x14ac:dyDescent="0.35">
      <c r="A3" s="3" t="s">
        <v>12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I3" s="3" t="s">
        <v>5</v>
      </c>
      <c r="J3" s="1" t="s">
        <v>0</v>
      </c>
      <c r="K3" s="1" t="s">
        <v>1</v>
      </c>
      <c r="L3" s="1" t="s">
        <v>2</v>
      </c>
      <c r="M3" s="1" t="s">
        <v>3</v>
      </c>
      <c r="N3" s="1" t="s">
        <v>4</v>
      </c>
      <c r="Q3" s="3" t="s">
        <v>5</v>
      </c>
      <c r="R3" s="1" t="s">
        <v>0</v>
      </c>
      <c r="S3" s="1" t="s">
        <v>1</v>
      </c>
      <c r="T3" s="1" t="s">
        <v>2</v>
      </c>
      <c r="U3" s="1" t="s">
        <v>3</v>
      </c>
      <c r="V3" s="1" t="s">
        <v>4</v>
      </c>
    </row>
    <row r="4" spans="1:30" x14ac:dyDescent="0.35">
      <c r="A4" s="1" t="s">
        <v>6</v>
      </c>
      <c r="B4" s="1">
        <f xml:space="preserve"> -38.32</f>
        <v>-38.32</v>
      </c>
      <c r="C4" s="1">
        <f xml:space="preserve"> -37.51</f>
        <v>-37.51</v>
      </c>
      <c r="D4" s="1">
        <f xml:space="preserve"> -37.11</f>
        <v>-37.11</v>
      </c>
      <c r="E4" s="1">
        <f xml:space="preserve"> AVERAGE(B4:D4)</f>
        <v>-37.646666666666668</v>
      </c>
      <c r="F4" s="1">
        <f xml:space="preserve"> _xlfn.STDEV.S(B4:D4)</f>
        <v>0.61646843660753148</v>
      </c>
      <c r="I4" s="1" t="s">
        <v>6</v>
      </c>
      <c r="J4" s="1">
        <f xml:space="preserve"> 43.88</f>
        <v>43.88</v>
      </c>
      <c r="K4" s="1">
        <f xml:space="preserve"> 43.87</f>
        <v>43.87</v>
      </c>
      <c r="L4" s="1">
        <f xml:space="preserve"> 43.97</f>
        <v>43.97</v>
      </c>
      <c r="M4" s="1">
        <f xml:space="preserve"> AVERAGE(J4:L4)</f>
        <v>43.906666666666666</v>
      </c>
      <c r="N4" s="1">
        <f xml:space="preserve"> _xlfn.STDEV.S(J4:L4)</f>
        <v>5.50757054728606E-2</v>
      </c>
      <c r="Q4" s="1" t="s">
        <v>6</v>
      </c>
      <c r="R4" s="1">
        <f xml:space="preserve"> 47.44</f>
        <v>47.44</v>
      </c>
      <c r="S4" s="1">
        <f xml:space="preserve"> 47.35</f>
        <v>47.35</v>
      </c>
      <c r="T4" s="1">
        <f xml:space="preserve"> 47.44</f>
        <v>47.44</v>
      </c>
      <c r="U4" s="1">
        <f xml:space="preserve"> AVERAGE(R4:T4)</f>
        <v>47.41</v>
      </c>
      <c r="V4" s="1">
        <f xml:space="preserve"> _xlfn.STDEV.S(R4:T4)</f>
        <v>5.1961524227064182E-2</v>
      </c>
      <c r="Z4" s="1" t="s">
        <v>13</v>
      </c>
      <c r="AA4" s="1" t="s">
        <v>14</v>
      </c>
      <c r="AB4" s="1" t="s">
        <v>15</v>
      </c>
      <c r="AC4" s="1" t="s">
        <v>16</v>
      </c>
      <c r="AD4" s="1" t="s">
        <v>17</v>
      </c>
    </row>
    <row r="5" spans="1:30" x14ac:dyDescent="0.35">
      <c r="A5" s="1" t="s">
        <v>7</v>
      </c>
      <c r="B5" s="1">
        <f xml:space="preserve"> -44.03</f>
        <v>-44.03</v>
      </c>
      <c r="C5" s="1">
        <f xml:space="preserve"> -42.94</f>
        <v>-42.94</v>
      </c>
      <c r="D5" s="1">
        <f xml:space="preserve"> -43.08</f>
        <v>-43.08</v>
      </c>
      <c r="E5" s="1">
        <f t="shared" ref="E5" si="0" xml:space="preserve"> AVERAGE(B5:D5)</f>
        <v>-43.35</v>
      </c>
      <c r="F5" s="1">
        <f t="shared" ref="F5" si="1" xml:space="preserve"> _xlfn.STDEV.S(B5:D5)</f>
        <v>0.59304300012731126</v>
      </c>
      <c r="I5" s="1" t="s">
        <v>7</v>
      </c>
      <c r="J5" s="1">
        <f xml:space="preserve"> 43.23</f>
        <v>43.23</v>
      </c>
      <c r="K5" s="1">
        <f xml:space="preserve"> 42.95</f>
        <v>42.95</v>
      </c>
      <c r="L5" s="1">
        <f xml:space="preserve"> 43.25</f>
        <v>43.25</v>
      </c>
      <c r="M5" s="1">
        <f t="shared" ref="M5:M6" si="2" xml:space="preserve"> AVERAGE(J5:L5)</f>
        <v>43.143333333333338</v>
      </c>
      <c r="N5" s="1">
        <f t="shared" ref="N5:N6" si="3" xml:space="preserve"> _xlfn.STDEV.S(J5:L5)</f>
        <v>0.16772994167211921</v>
      </c>
      <c r="Q5" s="1" t="s">
        <v>7</v>
      </c>
      <c r="R5" s="1">
        <f xml:space="preserve"> 46.97</f>
        <v>46.97</v>
      </c>
      <c r="S5" s="1">
        <f xml:space="preserve"> 46.79</f>
        <v>46.79</v>
      </c>
      <c r="T5" s="1">
        <f xml:space="preserve"> 46.98</f>
        <v>46.98</v>
      </c>
      <c r="U5" s="1">
        <f t="shared" ref="U5:U6" si="4" xml:space="preserve"> AVERAGE(R5:T5)</f>
        <v>46.913333333333327</v>
      </c>
      <c r="V5" s="1">
        <f t="shared" ref="V5:V6" si="5" xml:space="preserve"> _xlfn.STDEV.S(R5:T5)</f>
        <v>0.10692676621563547</v>
      </c>
      <c r="Z5" s="1">
        <f xml:space="preserve"> E4</f>
        <v>-37.646666666666668</v>
      </c>
      <c r="AA5" s="1">
        <f xml:space="preserve"> E5</f>
        <v>-43.35</v>
      </c>
      <c r="AB5" s="1">
        <f xml:space="preserve"> E6</f>
        <v>-39.156666666666666</v>
      </c>
      <c r="AC5" s="1">
        <f xml:space="preserve"> (1/AB5 - 1/AA5) / (1/Z5 - 1/AA5)</f>
        <v>0.70688936235358002</v>
      </c>
      <c r="AD5" s="1">
        <f xml:space="preserve"> 1-AC5</f>
        <v>0.29311063764641998</v>
      </c>
    </row>
    <row r="6" spans="1:30" x14ac:dyDescent="0.35">
      <c r="A6" s="1" t="s">
        <v>8</v>
      </c>
      <c r="B6" s="1">
        <f xml:space="preserve"> -38.72</f>
        <v>-38.72</v>
      </c>
      <c r="C6" s="1">
        <f xml:space="preserve"> -39.87</f>
        <v>-39.869999999999997</v>
      </c>
      <c r="D6" s="1">
        <f xml:space="preserve"> -38.88</f>
        <v>-38.880000000000003</v>
      </c>
      <c r="E6" s="1">
        <f xml:space="preserve"> AVERAGE(B6:D6)</f>
        <v>-39.156666666666666</v>
      </c>
      <c r="F6" s="1">
        <f xml:space="preserve"> _xlfn.STDEV.S(B6:D6)</f>
        <v>0.62292321624204317</v>
      </c>
      <c r="I6" s="1" t="s">
        <v>8</v>
      </c>
      <c r="J6" s="1">
        <f xml:space="preserve"> 42.39</f>
        <v>42.39</v>
      </c>
      <c r="K6" s="1">
        <f xml:space="preserve"> 42.15</f>
        <v>42.15</v>
      </c>
      <c r="L6" s="4">
        <f xml:space="preserve"> 41.93</f>
        <v>41.93</v>
      </c>
      <c r="M6" s="1">
        <f t="shared" si="2"/>
        <v>42.156666666666666</v>
      </c>
      <c r="N6" s="1">
        <f t="shared" si="3"/>
        <v>0.23007245235649909</v>
      </c>
      <c r="Q6" s="1" t="s">
        <v>8</v>
      </c>
      <c r="R6" s="1">
        <f xml:space="preserve"> 47.04</f>
        <v>47.04</v>
      </c>
      <c r="S6" s="1">
        <f xml:space="preserve"> 46.8</f>
        <v>46.8</v>
      </c>
      <c r="T6" s="4">
        <f xml:space="preserve"> 46.72</f>
        <v>46.72</v>
      </c>
      <c r="U6" s="1">
        <f t="shared" si="4"/>
        <v>46.853333333333332</v>
      </c>
      <c r="V6" s="1">
        <f t="shared" si="5"/>
        <v>0.16653327995729106</v>
      </c>
    </row>
    <row r="7" spans="1:30" x14ac:dyDescent="0.35">
      <c r="I7" t="s">
        <v>40</v>
      </c>
      <c r="Q7" t="s">
        <v>40</v>
      </c>
      <c r="Z7" t="s">
        <v>18</v>
      </c>
    </row>
    <row r="8" spans="1:30" x14ac:dyDescent="0.35">
      <c r="A8" s="3" t="s">
        <v>29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I8" s="3" t="s">
        <v>29</v>
      </c>
      <c r="J8" s="1" t="s">
        <v>0</v>
      </c>
      <c r="K8" s="1" t="s">
        <v>1</v>
      </c>
      <c r="L8" s="1" t="s">
        <v>2</v>
      </c>
      <c r="M8" s="1" t="s">
        <v>3</v>
      </c>
      <c r="N8" s="1" t="s">
        <v>4</v>
      </c>
      <c r="Q8" s="3" t="s">
        <v>29</v>
      </c>
      <c r="R8" s="1" t="s">
        <v>0</v>
      </c>
      <c r="S8" s="1" t="s">
        <v>1</v>
      </c>
      <c r="T8" s="1" t="s">
        <v>2</v>
      </c>
      <c r="U8" s="1" t="s">
        <v>3</v>
      </c>
      <c r="V8" s="1" t="s">
        <v>4</v>
      </c>
    </row>
    <row r="9" spans="1:30" x14ac:dyDescent="0.35">
      <c r="A9" s="1" t="s">
        <v>6</v>
      </c>
      <c r="I9" s="1" t="s">
        <v>6</v>
      </c>
      <c r="J9" s="1">
        <f xml:space="preserve"> 43.71</f>
        <v>43.71</v>
      </c>
      <c r="K9" s="1">
        <f xml:space="preserve"> 43.66</f>
        <v>43.66</v>
      </c>
      <c r="L9" s="1">
        <f xml:space="preserve"> 43.85</f>
        <v>43.85</v>
      </c>
      <c r="M9" s="1">
        <f t="shared" ref="M9:M11" si="6" xml:space="preserve"> AVERAGE(J9:L9)</f>
        <v>43.74</v>
      </c>
      <c r="N9" s="1">
        <f xml:space="preserve"> _xlfn.STDEV.S(J9:L9)</f>
        <v>9.8488578017963097E-2</v>
      </c>
      <c r="Q9" s="1" t="s">
        <v>6</v>
      </c>
      <c r="R9" s="1">
        <f xml:space="preserve"> 48</f>
        <v>48</v>
      </c>
      <c r="S9" s="1">
        <f xml:space="preserve"> 47.89</f>
        <v>47.89</v>
      </c>
      <c r="T9" s="1">
        <f xml:space="preserve"> 48.15</f>
        <v>48.15</v>
      </c>
      <c r="U9" s="1">
        <f t="shared" ref="U9:U11" si="7" xml:space="preserve"> AVERAGE(R9:T9)</f>
        <v>48.013333333333328</v>
      </c>
      <c r="V9" s="1">
        <f xml:space="preserve"> _xlfn.STDEV.S(R9:T9)</f>
        <v>0.1305118130030116</v>
      </c>
    </row>
    <row r="10" spans="1:30" x14ac:dyDescent="0.35">
      <c r="A10" s="1" t="s">
        <v>7</v>
      </c>
      <c r="I10" s="1" t="s">
        <v>7</v>
      </c>
      <c r="J10" s="1">
        <f xml:space="preserve"> 43.12</f>
        <v>43.12</v>
      </c>
      <c r="K10" s="1">
        <f xml:space="preserve"> 42.68</f>
        <v>42.68</v>
      </c>
      <c r="L10" s="1">
        <f xml:space="preserve"> 43.72</f>
        <v>43.72</v>
      </c>
      <c r="M10" s="1">
        <f t="shared" si="6"/>
        <v>43.173333333333325</v>
      </c>
      <c r="N10" s="1">
        <f t="shared" ref="N10:N11" si="8" xml:space="preserve"> _xlfn.STDEV.S(J10:L10)</f>
        <v>0.52204725201205016</v>
      </c>
      <c r="Q10" s="1" t="s">
        <v>7</v>
      </c>
      <c r="R10" s="1">
        <f xml:space="preserve"> 48.25</f>
        <v>48.25</v>
      </c>
      <c r="S10" s="1">
        <f xml:space="preserve"> 48.14</f>
        <v>48.14</v>
      </c>
      <c r="T10" s="1">
        <f xml:space="preserve"> 49.3</f>
        <v>49.3</v>
      </c>
      <c r="U10" s="1">
        <f t="shared" si="7"/>
        <v>48.563333333333333</v>
      </c>
      <c r="V10" s="1">
        <f t="shared" ref="V10:V11" si="9" xml:space="preserve"> _xlfn.STDEV.S(R10:T10)</f>
        <v>0.64033845217457541</v>
      </c>
    </row>
    <row r="11" spans="1:30" x14ac:dyDescent="0.35">
      <c r="A11" s="1" t="s">
        <v>8</v>
      </c>
      <c r="I11" s="1" t="s">
        <v>8</v>
      </c>
      <c r="J11" s="1">
        <f xml:space="preserve"> 41.53</f>
        <v>41.53</v>
      </c>
      <c r="K11" s="1">
        <f xml:space="preserve"> 41.74</f>
        <v>41.74</v>
      </c>
      <c r="L11" s="1">
        <f xml:space="preserve"> 42.11</f>
        <v>42.11</v>
      </c>
      <c r="M11" s="1">
        <f t="shared" si="6"/>
        <v>41.793333333333337</v>
      </c>
      <c r="N11" s="1">
        <f t="shared" si="8"/>
        <v>0.29365512652315939</v>
      </c>
      <c r="Q11" s="1" t="s">
        <v>8</v>
      </c>
      <c r="R11" s="1">
        <f xml:space="preserve"> 47.86</f>
        <v>47.86</v>
      </c>
      <c r="S11" s="1">
        <f xml:space="preserve"> 47.72</f>
        <v>47.72</v>
      </c>
      <c r="T11" s="1">
        <f xml:space="preserve"> 48.43</f>
        <v>48.43</v>
      </c>
      <c r="U11" s="1">
        <f t="shared" si="7"/>
        <v>48.00333333333333</v>
      </c>
      <c r="V11" s="1">
        <f t="shared" si="9"/>
        <v>0.3760762334066507</v>
      </c>
    </row>
    <row r="13" spans="1:30" x14ac:dyDescent="0.35">
      <c r="A13" s="3" t="s">
        <v>45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I13" s="3" t="s">
        <v>45</v>
      </c>
      <c r="J13" s="1" t="s">
        <v>0</v>
      </c>
      <c r="K13" s="1" t="s">
        <v>1</v>
      </c>
      <c r="L13" s="1" t="s">
        <v>2</v>
      </c>
      <c r="M13" s="1" t="s">
        <v>3</v>
      </c>
      <c r="N13" s="1" t="s">
        <v>4</v>
      </c>
      <c r="Q13" s="3" t="s">
        <v>45</v>
      </c>
      <c r="R13" s="1" t="s">
        <v>0</v>
      </c>
      <c r="S13" s="1" t="s">
        <v>1</v>
      </c>
      <c r="T13" s="1" t="s">
        <v>2</v>
      </c>
      <c r="U13" s="1" t="s">
        <v>3</v>
      </c>
      <c r="V13" s="1" t="s">
        <v>4</v>
      </c>
    </row>
    <row r="14" spans="1:30" x14ac:dyDescent="0.35">
      <c r="A14" s="1" t="s">
        <v>6</v>
      </c>
      <c r="I14" s="1" t="s">
        <v>6</v>
      </c>
      <c r="J14" s="1">
        <f xml:space="preserve"> 43.9</f>
        <v>43.9</v>
      </c>
      <c r="K14" s="1">
        <f xml:space="preserve"> 43.85</f>
        <v>43.85</v>
      </c>
      <c r="L14" s="1">
        <f xml:space="preserve"> 43.71</f>
        <v>43.71</v>
      </c>
      <c r="M14" s="1">
        <f t="shared" ref="M14:M15" si="10" xml:space="preserve"> AVERAGE(J14:L14)</f>
        <v>43.82</v>
      </c>
      <c r="N14" s="1">
        <f xml:space="preserve"> _xlfn.STDEV.S(J14:L14)</f>
        <v>9.848857801796021E-2</v>
      </c>
      <c r="Q14" s="1" t="s">
        <v>6</v>
      </c>
      <c r="R14" s="1">
        <f xml:space="preserve"> 48.41</f>
        <v>48.41</v>
      </c>
      <c r="S14" s="1">
        <f xml:space="preserve"> 48.34</f>
        <v>48.34</v>
      </c>
      <c r="T14" s="1">
        <f xml:space="preserve"> 48.2</f>
        <v>48.2</v>
      </c>
      <c r="U14" s="1">
        <f t="shared" ref="U14:U16" si="11" xml:space="preserve"> AVERAGE(R14:T14)</f>
        <v>48.316666666666663</v>
      </c>
      <c r="V14" s="1">
        <f xml:space="preserve"> _xlfn.STDEV.S(R14:T14)</f>
        <v>0.1069267662156336</v>
      </c>
    </row>
    <row r="15" spans="1:30" x14ac:dyDescent="0.35">
      <c r="A15" s="1" t="s">
        <v>7</v>
      </c>
      <c r="I15" s="1" t="s">
        <v>7</v>
      </c>
      <c r="J15" s="1">
        <f xml:space="preserve"> 43.57</f>
        <v>43.57</v>
      </c>
      <c r="K15" s="1">
        <f xml:space="preserve"> 43.52</f>
        <v>43.52</v>
      </c>
      <c r="L15" s="1">
        <f xml:space="preserve"> 43.15</f>
        <v>43.15</v>
      </c>
      <c r="M15" s="1">
        <f t="shared" si="10"/>
        <v>43.413333333333334</v>
      </c>
      <c r="N15" s="1">
        <f t="shared" ref="N15" si="12" xml:space="preserve"> _xlfn.STDEV.S(J15:L15)</f>
        <v>0.22941955743426515</v>
      </c>
      <c r="Q15" s="1" t="s">
        <v>7</v>
      </c>
      <c r="R15" s="1">
        <f xml:space="preserve"> 49.88</f>
        <v>49.88</v>
      </c>
      <c r="S15" s="1">
        <f xml:space="preserve"> 49.82</f>
        <v>49.82</v>
      </c>
      <c r="T15" s="1">
        <f xml:space="preserve"> 49.52</f>
        <v>49.52</v>
      </c>
      <c r="U15" s="1">
        <f t="shared" si="11"/>
        <v>49.74</v>
      </c>
      <c r="V15" s="1">
        <f t="shared" ref="V15:V16" si="13" xml:space="preserve"> _xlfn.STDEV.S(R15:T15)</f>
        <v>0.19287301521985831</v>
      </c>
    </row>
    <row r="16" spans="1:30" x14ac:dyDescent="0.35">
      <c r="A16" s="1" t="s">
        <v>8</v>
      </c>
      <c r="I16" s="1" t="s">
        <v>8</v>
      </c>
      <c r="J16" s="1">
        <f xml:space="preserve"> 42.23</f>
        <v>42.23</v>
      </c>
      <c r="K16" s="1">
        <f xml:space="preserve"> 42.05</f>
        <v>42.05</v>
      </c>
      <c r="L16" s="1">
        <f xml:space="preserve"> 42.17</f>
        <v>42.17</v>
      </c>
      <c r="M16" s="1">
        <f xml:space="preserve"> AVERAGE(J16:L16)</f>
        <v>42.15</v>
      </c>
      <c r="N16" s="1">
        <f xml:space="preserve"> _xlfn.STDEV.S(J16:L16)</f>
        <v>9.1651513899117174E-2</v>
      </c>
      <c r="Q16" s="1" t="s">
        <v>8</v>
      </c>
      <c r="R16" s="1">
        <f xml:space="preserve"> 49.04</f>
        <v>49.04</v>
      </c>
      <c r="S16" s="1">
        <f xml:space="preserve"> 52.61</f>
        <v>52.61</v>
      </c>
      <c r="T16" s="1">
        <f xml:space="preserve"> 48.81</f>
        <v>48.81</v>
      </c>
      <c r="U16" s="1">
        <f t="shared" si="11"/>
        <v>50.153333333333336</v>
      </c>
      <c r="V16" s="1">
        <f t="shared" si="13"/>
        <v>2.1306415309322517</v>
      </c>
    </row>
    <row r="18" spans="1:22" x14ac:dyDescent="0.35">
      <c r="A18" s="3" t="s">
        <v>31</v>
      </c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I18" s="3" t="s">
        <v>31</v>
      </c>
      <c r="J18" s="1" t="s">
        <v>0</v>
      </c>
      <c r="K18" s="1" t="s">
        <v>1</v>
      </c>
      <c r="L18" s="1" t="s">
        <v>2</v>
      </c>
      <c r="M18" s="1" t="s">
        <v>3</v>
      </c>
      <c r="N18" s="1" t="s">
        <v>4</v>
      </c>
      <c r="Q18" s="3" t="s">
        <v>31</v>
      </c>
      <c r="R18" s="1" t="s">
        <v>0</v>
      </c>
      <c r="S18" s="1" t="s">
        <v>1</v>
      </c>
      <c r="T18" s="1" t="s">
        <v>2</v>
      </c>
      <c r="U18" s="1" t="s">
        <v>3</v>
      </c>
      <c r="V18" s="1" t="s">
        <v>4</v>
      </c>
    </row>
    <row r="19" spans="1:22" x14ac:dyDescent="0.35">
      <c r="A19" s="1" t="s">
        <v>6</v>
      </c>
      <c r="I19" s="1" t="s">
        <v>6</v>
      </c>
      <c r="J19" s="1">
        <f xml:space="preserve"> 43.8</f>
        <v>43.8</v>
      </c>
      <c r="K19" s="1">
        <f xml:space="preserve"> 43.95</f>
        <v>43.95</v>
      </c>
      <c r="L19" s="1">
        <v>43.99</v>
      </c>
      <c r="M19" s="1">
        <f t="shared" ref="M19:M21" si="14" xml:space="preserve"> AVERAGE(J19:L19)</f>
        <v>43.913333333333334</v>
      </c>
      <c r="N19" s="1">
        <f xml:space="preserve"> _xlfn.STDEV.S(J19:L19)</f>
        <v>0.10016652800878102</v>
      </c>
      <c r="Q19" s="1" t="s">
        <v>6</v>
      </c>
      <c r="R19" s="1">
        <f xml:space="preserve"> 49.19</f>
        <v>49.19</v>
      </c>
      <c r="S19" s="1">
        <f xml:space="preserve"> 49.27</f>
        <v>49.27</v>
      </c>
      <c r="T19" s="1">
        <f xml:space="preserve"> 49.64</f>
        <v>49.64</v>
      </c>
      <c r="U19" s="1">
        <f t="shared" ref="U19:U21" si="15" xml:space="preserve"> AVERAGE(R19:T19)</f>
        <v>49.366666666666674</v>
      </c>
      <c r="V19" s="1">
        <f xml:space="preserve"> _xlfn.STDEV.S(R19:T19)</f>
        <v>0.24006943440041173</v>
      </c>
    </row>
    <row r="20" spans="1:22" x14ac:dyDescent="0.35">
      <c r="A20" s="1" t="s">
        <v>7</v>
      </c>
      <c r="I20" s="1" t="s">
        <v>7</v>
      </c>
      <c r="J20" s="1">
        <f xml:space="preserve"> 43.13</f>
        <v>43.13</v>
      </c>
      <c r="K20" s="1">
        <f xml:space="preserve"> 43.22</f>
        <v>43.22</v>
      </c>
      <c r="L20" s="1">
        <f xml:space="preserve"> 43.1</f>
        <v>43.1</v>
      </c>
      <c r="M20" s="1">
        <f t="shared" si="14"/>
        <v>43.15</v>
      </c>
      <c r="N20" s="1">
        <f t="shared" ref="N20:N21" si="16" xml:space="preserve"> _xlfn.STDEV.S(J20:L20)</f>
        <v>6.2449979983982364E-2</v>
      </c>
      <c r="Q20" s="1" t="s">
        <v>7</v>
      </c>
      <c r="R20" s="1">
        <f xml:space="preserve"> 51.76</f>
        <v>51.76</v>
      </c>
      <c r="S20" s="1">
        <f xml:space="preserve"> 51.79</f>
        <v>51.79</v>
      </c>
      <c r="T20" s="1">
        <f xml:space="preserve"> 51.84</f>
        <v>51.84</v>
      </c>
      <c r="U20" s="1">
        <f t="shared" si="15"/>
        <v>51.79666666666666</v>
      </c>
      <c r="V20" s="1">
        <f t="shared" ref="V20:V21" si="17" xml:space="preserve"> _xlfn.STDEV.S(R20:T20)</f>
        <v>4.0414518843276605E-2</v>
      </c>
    </row>
    <row r="21" spans="1:22" x14ac:dyDescent="0.35">
      <c r="A21" s="1" t="s">
        <v>8</v>
      </c>
      <c r="I21" s="1" t="s">
        <v>8</v>
      </c>
      <c r="J21" s="1">
        <f xml:space="preserve"> 42.25</f>
        <v>42.25</v>
      </c>
      <c r="K21" s="1">
        <f xml:space="preserve"> 41.47</f>
        <v>41.47</v>
      </c>
      <c r="L21" s="1">
        <f xml:space="preserve"> 42.13</f>
        <v>42.13</v>
      </c>
      <c r="M21" s="1">
        <f t="shared" si="14"/>
        <v>41.949999999999996</v>
      </c>
      <c r="N21" s="1">
        <f t="shared" si="16"/>
        <v>0.42000000000000121</v>
      </c>
      <c r="Q21" s="1" t="s">
        <v>8</v>
      </c>
      <c r="R21" s="1">
        <f xml:space="preserve"> 49.86</f>
        <v>49.86</v>
      </c>
      <c r="S21" s="1">
        <f xml:space="preserve"> 49.59</f>
        <v>49.59</v>
      </c>
      <c r="T21" s="1">
        <f xml:space="preserve"> 49.91</f>
        <v>49.91</v>
      </c>
      <c r="U21" s="1">
        <f t="shared" si="15"/>
        <v>49.786666666666669</v>
      </c>
      <c r="V21" s="1">
        <f t="shared" si="17"/>
        <v>0.17214335111566814</v>
      </c>
    </row>
    <row r="23" spans="1:22" x14ac:dyDescent="0.35">
      <c r="A23" s="3" t="s">
        <v>32</v>
      </c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I23" s="3" t="s">
        <v>32</v>
      </c>
      <c r="J23" s="1" t="s">
        <v>0</v>
      </c>
      <c r="K23" s="1" t="s">
        <v>1</v>
      </c>
      <c r="L23" s="1" t="s">
        <v>2</v>
      </c>
      <c r="M23" s="1" t="s">
        <v>3</v>
      </c>
      <c r="N23" s="1" t="s">
        <v>4</v>
      </c>
      <c r="Q23" s="3" t="s">
        <v>32</v>
      </c>
      <c r="R23" s="1" t="s">
        <v>0</v>
      </c>
      <c r="S23" s="1" t="s">
        <v>1</v>
      </c>
      <c r="T23" s="1" t="s">
        <v>2</v>
      </c>
      <c r="U23" s="1" t="s">
        <v>3</v>
      </c>
      <c r="V23" s="1" t="s">
        <v>4</v>
      </c>
    </row>
    <row r="24" spans="1:22" x14ac:dyDescent="0.35">
      <c r="A24" s="1" t="s">
        <v>6</v>
      </c>
      <c r="I24" s="1" t="s">
        <v>6</v>
      </c>
      <c r="J24" s="1">
        <f xml:space="preserve"> 44.33</f>
        <v>44.33</v>
      </c>
      <c r="K24" s="1">
        <f xml:space="preserve"> 44.11</f>
        <v>44.11</v>
      </c>
      <c r="L24" s="1">
        <f xml:space="preserve"> 44.41</f>
        <v>44.41</v>
      </c>
      <c r="M24" s="1">
        <f t="shared" ref="M24:M26" si="18" xml:space="preserve"> AVERAGE(J24:L24)</f>
        <v>44.283333333333331</v>
      </c>
      <c r="N24" s="1">
        <f xml:space="preserve"> _xlfn.STDEV.S(J24:L24)</f>
        <v>0.15534906930307923</v>
      </c>
      <c r="Q24" s="1" t="s">
        <v>6</v>
      </c>
      <c r="R24" s="1">
        <f xml:space="preserve"> 50.3</f>
        <v>50.3</v>
      </c>
      <c r="S24" s="1">
        <f xml:space="preserve"> 49.83</f>
        <v>49.83</v>
      </c>
      <c r="T24" s="1">
        <f xml:space="preserve"> 50.69</f>
        <v>50.69</v>
      </c>
      <c r="U24" s="1">
        <f t="shared" ref="U24:U26" si="19" xml:space="preserve"> AVERAGE(R24:T24)</f>
        <v>50.273333333333333</v>
      </c>
      <c r="V24" s="1">
        <f xml:space="preserve"> _xlfn.STDEV.S(R24:T24)</f>
        <v>0.43061970848224429</v>
      </c>
    </row>
    <row r="25" spans="1:22" x14ac:dyDescent="0.35">
      <c r="A25" s="1" t="s">
        <v>7</v>
      </c>
      <c r="I25" s="1" t="s">
        <v>7</v>
      </c>
      <c r="J25" s="1">
        <f xml:space="preserve"> 42.84</f>
        <v>42.84</v>
      </c>
      <c r="K25" s="1">
        <f xml:space="preserve"> 42.73</f>
        <v>42.73</v>
      </c>
      <c r="L25" s="1">
        <f xml:space="preserve"> 42.7</f>
        <v>42.7</v>
      </c>
      <c r="M25" s="1">
        <f t="shared" si="18"/>
        <v>42.756666666666661</v>
      </c>
      <c r="N25" s="1">
        <f t="shared" ref="N25:N26" si="20" xml:space="preserve"> _xlfn.STDEV.S(J25:L25)</f>
        <v>7.3711147958321344E-2</v>
      </c>
      <c r="Q25" s="1" t="s">
        <v>7</v>
      </c>
      <c r="R25" s="1">
        <f xml:space="preserve"> 54.76</f>
        <v>54.76</v>
      </c>
      <c r="S25" s="1">
        <f xml:space="preserve"> 54.48</f>
        <v>54.48</v>
      </c>
      <c r="T25" s="1">
        <f xml:space="preserve"> 53.93</f>
        <v>53.93</v>
      </c>
      <c r="U25" s="1">
        <f t="shared" si="19"/>
        <v>54.389999999999993</v>
      </c>
      <c r="V25" s="1">
        <f t="shared" ref="V25:V26" si="21" xml:space="preserve"> _xlfn.STDEV.S(R25:T25)</f>
        <v>0.42225584661434717</v>
      </c>
    </row>
    <row r="26" spans="1:22" x14ac:dyDescent="0.35">
      <c r="A26" s="1" t="s">
        <v>8</v>
      </c>
      <c r="I26" s="1" t="s">
        <v>8</v>
      </c>
      <c r="J26" s="1">
        <f xml:space="preserve"> 41.62</f>
        <v>41.62</v>
      </c>
      <c r="K26" s="1">
        <f xml:space="preserve"> 41.89</f>
        <v>41.89</v>
      </c>
      <c r="L26" s="1">
        <f xml:space="preserve"> 42.2</f>
        <v>42.2</v>
      </c>
      <c r="M26" s="1">
        <f t="shared" si="18"/>
        <v>41.903333333333329</v>
      </c>
      <c r="N26" s="1">
        <f t="shared" si="20"/>
        <v>0.29022979401387256</v>
      </c>
      <c r="Q26" s="1" t="s">
        <v>8</v>
      </c>
      <c r="R26" s="1">
        <f xml:space="preserve"> 51.96</f>
        <v>51.96</v>
      </c>
      <c r="S26" s="1">
        <f xml:space="preserve"> 49.99</f>
        <v>49.99</v>
      </c>
      <c r="T26" s="1">
        <f xml:space="preserve"> 51.5</f>
        <v>51.5</v>
      </c>
      <c r="U26" s="1">
        <f t="shared" si="19"/>
        <v>51.15</v>
      </c>
      <c r="V26" s="1">
        <f t="shared" si="21"/>
        <v>1.0305823596394412</v>
      </c>
    </row>
    <row r="28" spans="1:22" x14ac:dyDescent="0.35">
      <c r="A28" s="3" t="s">
        <v>33</v>
      </c>
      <c r="B28" s="1" t="s">
        <v>0</v>
      </c>
      <c r="C28" s="1" t="s">
        <v>1</v>
      </c>
      <c r="D28" s="1" t="s">
        <v>2</v>
      </c>
      <c r="E28" s="1" t="s">
        <v>3</v>
      </c>
      <c r="F28" s="1" t="s">
        <v>4</v>
      </c>
      <c r="I28" s="3" t="s">
        <v>33</v>
      </c>
      <c r="J28" s="1" t="s">
        <v>0</v>
      </c>
      <c r="K28" s="1" t="s">
        <v>1</v>
      </c>
      <c r="L28" s="1" t="s">
        <v>2</v>
      </c>
      <c r="M28" s="1" t="s">
        <v>3</v>
      </c>
      <c r="N28" s="1" t="s">
        <v>4</v>
      </c>
      <c r="Q28" s="3" t="s">
        <v>33</v>
      </c>
      <c r="R28" s="1" t="s">
        <v>0</v>
      </c>
      <c r="S28" s="1" t="s">
        <v>1</v>
      </c>
      <c r="T28" s="1" t="s">
        <v>2</v>
      </c>
      <c r="U28" s="1" t="s">
        <v>3</v>
      </c>
      <c r="V28" s="1" t="s">
        <v>4</v>
      </c>
    </row>
    <row r="29" spans="1:22" x14ac:dyDescent="0.35">
      <c r="A29" s="1" t="s">
        <v>6</v>
      </c>
      <c r="I29" s="1" t="s">
        <v>6</v>
      </c>
      <c r="J29" s="1">
        <f xml:space="preserve"> 44.73</f>
        <v>44.73</v>
      </c>
      <c r="K29" s="1">
        <f xml:space="preserve"> 44.11</f>
        <v>44.11</v>
      </c>
      <c r="L29" s="1">
        <f xml:space="preserve"> 44.18</f>
        <v>44.18</v>
      </c>
      <c r="M29" s="1">
        <f t="shared" ref="M29:M31" si="22" xml:space="preserve"> AVERAGE(J29:L29)</f>
        <v>44.34</v>
      </c>
      <c r="N29" s="1">
        <f xml:space="preserve"> _xlfn.STDEV.S(J29:L29)</f>
        <v>0.33955853692699134</v>
      </c>
      <c r="Q29" s="1" t="s">
        <v>6</v>
      </c>
      <c r="R29" s="1">
        <f xml:space="preserve"> 50.69</f>
        <v>50.69</v>
      </c>
      <c r="S29" s="1">
        <f xml:space="preserve"> 49.96</f>
        <v>49.96</v>
      </c>
      <c r="T29" s="1">
        <f xml:space="preserve"> 50.14</f>
        <v>50.14</v>
      </c>
      <c r="U29" s="1">
        <f t="shared" ref="U29:U31" si="23" xml:space="preserve"> AVERAGE(R29:T29)</f>
        <v>50.263333333333343</v>
      </c>
      <c r="V29" s="1">
        <f xml:space="preserve"> _xlfn.STDEV.S(R29:T29)</f>
        <v>0.38030689361794645</v>
      </c>
    </row>
    <row r="30" spans="1:22" x14ac:dyDescent="0.35">
      <c r="A30" s="1" t="s">
        <v>7</v>
      </c>
      <c r="I30" s="1" t="s">
        <v>7</v>
      </c>
      <c r="J30" s="1">
        <f xml:space="preserve"> 42.03</f>
        <v>42.03</v>
      </c>
      <c r="K30" s="1">
        <f xml:space="preserve"> 43.48</f>
        <v>43.48</v>
      </c>
      <c r="L30" s="1">
        <f xml:space="preserve"> 42.25</f>
        <v>42.25</v>
      </c>
      <c r="M30" s="1">
        <f xml:space="preserve"> AVERAGE(J30:L30)</f>
        <v>42.586666666666666</v>
      </c>
      <c r="N30" s="1">
        <f xml:space="preserve"> _xlfn.STDEV.S(J30:L30)</f>
        <v>0.78143031252526285</v>
      </c>
      <c r="Q30" s="1" t="s">
        <v>7</v>
      </c>
      <c r="R30" s="1">
        <f xml:space="preserve"> 54.02</f>
        <v>54.02</v>
      </c>
      <c r="S30" s="1">
        <f xml:space="preserve"> 53.94</f>
        <v>53.94</v>
      </c>
      <c r="T30" s="1">
        <f xml:space="preserve"> 54.57</f>
        <v>54.57</v>
      </c>
      <c r="U30" s="1">
        <f xml:space="preserve"> AVERAGE(R30:T30)</f>
        <v>54.176666666666669</v>
      </c>
      <c r="V30" s="1">
        <f xml:space="preserve"> _xlfn.STDEV.S(R30:T30)</f>
        <v>0.34297716153314567</v>
      </c>
    </row>
    <row r="31" spans="1:22" x14ac:dyDescent="0.35">
      <c r="A31" s="1" t="s">
        <v>8</v>
      </c>
      <c r="I31" s="1" t="s">
        <v>8</v>
      </c>
      <c r="J31" s="1">
        <f xml:space="preserve"> 41.65</f>
        <v>41.65</v>
      </c>
      <c r="K31" s="1">
        <f xml:space="preserve"> 41.86</f>
        <v>41.86</v>
      </c>
      <c r="L31" s="1">
        <f xml:space="preserve"> 41.64</f>
        <v>41.64</v>
      </c>
      <c r="M31" s="1">
        <f t="shared" si="22"/>
        <v>41.716666666666661</v>
      </c>
      <c r="N31" s="1">
        <f t="shared" ref="N31" si="24" xml:space="preserve"> _xlfn.STDEV.S(J31:L31)</f>
        <v>0.12423096769056137</v>
      </c>
      <c r="Q31" s="1" t="s">
        <v>8</v>
      </c>
      <c r="R31" s="1">
        <f xml:space="preserve"> 50.36</f>
        <v>50.36</v>
      </c>
      <c r="S31" s="1">
        <f xml:space="preserve"> 50.76</f>
        <v>50.76</v>
      </c>
      <c r="T31" s="1">
        <f xml:space="preserve"> 50.54</f>
        <v>50.54</v>
      </c>
      <c r="U31" s="1">
        <f t="shared" si="23"/>
        <v>50.553333333333335</v>
      </c>
      <c r="V31" s="1">
        <f t="shared" ref="V31" si="25" xml:space="preserve"> _xlfn.STDEV.S(R31:T31)</f>
        <v>0.20033305601755552</v>
      </c>
    </row>
    <row r="33" spans="1:22" x14ac:dyDescent="0.35">
      <c r="A33" s="3" t="s">
        <v>20</v>
      </c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  <c r="I33" s="3" t="s">
        <v>20</v>
      </c>
      <c r="J33" s="1" t="s">
        <v>0</v>
      </c>
      <c r="K33" s="1" t="s">
        <v>1</v>
      </c>
      <c r="L33" s="1" t="s">
        <v>2</v>
      </c>
      <c r="M33" s="1" t="s">
        <v>3</v>
      </c>
      <c r="N33" s="1" t="s">
        <v>4</v>
      </c>
      <c r="Q33" s="3" t="s">
        <v>20</v>
      </c>
      <c r="R33" s="1" t="s">
        <v>0</v>
      </c>
      <c r="S33" s="1" t="s">
        <v>1</v>
      </c>
      <c r="T33" s="1" t="s">
        <v>2</v>
      </c>
      <c r="U33" s="1" t="s">
        <v>3</v>
      </c>
      <c r="V33" s="1" t="s">
        <v>4</v>
      </c>
    </row>
    <row r="34" spans="1:22" x14ac:dyDescent="0.35">
      <c r="A34" s="1" t="s">
        <v>6</v>
      </c>
      <c r="I34" s="1" t="s">
        <v>6</v>
      </c>
      <c r="J34" s="1">
        <f xml:space="preserve"> 44.78</f>
        <v>44.78</v>
      </c>
      <c r="K34" s="1">
        <f xml:space="preserve"> 44.07</f>
        <v>44.07</v>
      </c>
      <c r="L34" s="1">
        <f xml:space="preserve"> 44.73</f>
        <v>44.73</v>
      </c>
      <c r="M34" s="1">
        <f t="shared" ref="M34:M36" si="26" xml:space="preserve"> AVERAGE(J34:L34)</f>
        <v>44.526666666666664</v>
      </c>
      <c r="N34" s="1">
        <f xml:space="preserve"> _xlfn.STDEV.S(J34:L34)</f>
        <v>0.39627431576287259</v>
      </c>
      <c r="Q34" s="1" t="s">
        <v>6</v>
      </c>
      <c r="R34" s="1">
        <f xml:space="preserve"> 50.98</f>
        <v>50.98</v>
      </c>
      <c r="S34" s="1">
        <f xml:space="preserve"> 49.99</f>
        <v>49.99</v>
      </c>
      <c r="T34" s="1">
        <f xml:space="preserve"> 50.91</f>
        <v>50.91</v>
      </c>
      <c r="U34" s="1">
        <f t="shared" ref="U34:U36" si="27" xml:space="preserve"> AVERAGE(R34:T34)</f>
        <v>50.626666666666665</v>
      </c>
      <c r="V34" s="1">
        <f xml:space="preserve"> _xlfn.STDEV.S(R34:T34)</f>
        <v>0.55247926054588692</v>
      </c>
    </row>
    <row r="35" spans="1:22" x14ac:dyDescent="0.35">
      <c r="A35" s="1" t="s">
        <v>7</v>
      </c>
      <c r="I35" s="1" t="s">
        <v>7</v>
      </c>
      <c r="J35" s="1">
        <f xml:space="preserve"> 35.41</f>
        <v>35.409999999999997</v>
      </c>
      <c r="K35" s="1">
        <f xml:space="preserve"> 42.35</f>
        <v>42.35</v>
      </c>
      <c r="L35" s="1">
        <f xml:space="preserve"> 37.34</f>
        <v>37.340000000000003</v>
      </c>
      <c r="M35" s="1">
        <f t="shared" si="26"/>
        <v>38.366666666666667</v>
      </c>
      <c r="N35" s="1">
        <f t="shared" ref="N35:N36" si="28" xml:space="preserve"> _xlfn.STDEV.S(J35:L35)</f>
        <v>3.5820990122180243</v>
      </c>
      <c r="Q35" s="1" t="s">
        <v>7</v>
      </c>
      <c r="R35" s="1">
        <f xml:space="preserve"> 58.62</f>
        <v>58.62</v>
      </c>
      <c r="S35" s="1">
        <f xml:space="preserve"> 55.54</f>
        <v>55.54</v>
      </c>
      <c r="T35" s="1">
        <f xml:space="preserve"> 57.63</f>
        <v>57.63</v>
      </c>
      <c r="U35" s="1">
        <f t="shared" si="27"/>
        <v>57.263333333333328</v>
      </c>
      <c r="V35" s="1">
        <f t="shared" ref="V35:V36" si="29" xml:space="preserve"> _xlfn.STDEV.S(R35:T35)</f>
        <v>1.5723973204420481</v>
      </c>
    </row>
    <row r="36" spans="1:22" x14ac:dyDescent="0.35">
      <c r="A36" s="1" t="s">
        <v>8</v>
      </c>
      <c r="I36" s="1" t="s">
        <v>8</v>
      </c>
      <c r="J36" s="1">
        <f xml:space="preserve"> 28.37</f>
        <v>28.37</v>
      </c>
      <c r="K36" s="1">
        <f xml:space="preserve"> 27</f>
        <v>27</v>
      </c>
      <c r="L36" s="1">
        <f xml:space="preserve"> 35.43</f>
        <v>35.43</v>
      </c>
      <c r="M36" s="1">
        <f t="shared" si="26"/>
        <v>30.266666666666669</v>
      </c>
      <c r="N36" s="1">
        <f t="shared" si="28"/>
        <v>4.5237410771764299</v>
      </c>
      <c r="Q36" s="1" t="s">
        <v>8</v>
      </c>
      <c r="R36" s="1">
        <f xml:space="preserve"> 43.6</f>
        <v>43.6</v>
      </c>
      <c r="S36" s="1">
        <f xml:space="preserve"> 43.69</f>
        <v>43.69</v>
      </c>
      <c r="T36" s="1">
        <f xml:space="preserve"> 46.78</f>
        <v>46.78</v>
      </c>
      <c r="U36" s="1">
        <f t="shared" si="27"/>
        <v>44.69</v>
      </c>
      <c r="V36" s="1">
        <f t="shared" si="29"/>
        <v>1.8105524018928596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7842-6A79-4A05-93FB-2220C2495771}">
  <dimension ref="A1:W31"/>
  <sheetViews>
    <sheetView tabSelected="1" topLeftCell="E8" zoomScale="60" zoomScaleNormal="60" workbookViewId="0">
      <selection activeCell="S27" sqref="S27"/>
    </sheetView>
  </sheetViews>
  <sheetFormatPr defaultRowHeight="14.5" x14ac:dyDescent="0.35"/>
  <cols>
    <col min="1" max="1" width="14.453125" customWidth="1"/>
    <col min="8" max="8" width="21.36328125" bestFit="1" customWidth="1"/>
    <col min="16" max="16" width="21.36328125" bestFit="1" customWidth="1"/>
  </cols>
  <sheetData>
    <row r="1" spans="1:23" ht="29" x14ac:dyDescent="0.35">
      <c r="A1" s="2" t="s">
        <v>10</v>
      </c>
      <c r="B1" s="1"/>
      <c r="D1" s="1"/>
      <c r="E1" s="1"/>
      <c r="F1" s="1"/>
      <c r="G1" s="1"/>
      <c r="H1" s="2" t="s">
        <v>11</v>
      </c>
      <c r="I1" t="s">
        <v>24</v>
      </c>
      <c r="K1" s="1"/>
      <c r="L1" s="1"/>
      <c r="M1" s="1"/>
      <c r="N1" s="1"/>
      <c r="O1" s="1"/>
      <c r="P1" s="2" t="s">
        <v>28</v>
      </c>
      <c r="Q1" t="s">
        <v>25</v>
      </c>
      <c r="S1" s="1"/>
      <c r="T1" s="1"/>
      <c r="U1" s="1"/>
      <c r="V1" s="1"/>
      <c r="W1" s="1"/>
    </row>
    <row r="2" spans="1:23" ht="58" x14ac:dyDescent="0.35">
      <c r="A2" s="3" t="s">
        <v>9</v>
      </c>
      <c r="B2" t="s">
        <v>22</v>
      </c>
      <c r="D2" s="1"/>
      <c r="E2" s="1"/>
      <c r="F2" s="1"/>
      <c r="G2" s="1"/>
      <c r="H2" s="1" t="s">
        <v>26</v>
      </c>
      <c r="I2" t="s">
        <v>23</v>
      </c>
      <c r="K2" s="1"/>
      <c r="L2" s="1"/>
      <c r="M2" s="1"/>
      <c r="N2" s="1"/>
      <c r="O2" s="1"/>
      <c r="P2" s="1" t="s">
        <v>26</v>
      </c>
      <c r="Q2" t="s">
        <v>27</v>
      </c>
      <c r="S2" s="1"/>
      <c r="T2" s="1"/>
      <c r="U2" s="1"/>
      <c r="V2" s="1"/>
      <c r="W2" s="1"/>
    </row>
    <row r="3" spans="1:23" ht="29" x14ac:dyDescent="0.35">
      <c r="A3" s="3" t="s">
        <v>30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3" t="s">
        <v>30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1"/>
      <c r="O3" s="1"/>
      <c r="P3" s="3" t="s">
        <v>30</v>
      </c>
      <c r="Q3" s="1" t="s">
        <v>0</v>
      </c>
      <c r="R3" s="1" t="s">
        <v>1</v>
      </c>
      <c r="S3" s="1" t="s">
        <v>2</v>
      </c>
      <c r="T3" s="1" t="s">
        <v>3</v>
      </c>
      <c r="U3" s="1" t="s">
        <v>4</v>
      </c>
    </row>
    <row r="4" spans="1:23" x14ac:dyDescent="0.35">
      <c r="A4" s="1" t="s">
        <v>6</v>
      </c>
      <c r="B4" s="1"/>
      <c r="C4" s="1"/>
      <c r="D4" s="1"/>
      <c r="E4" s="1"/>
      <c r="F4" s="1"/>
      <c r="G4" s="1"/>
      <c r="H4" s="1" t="s">
        <v>6</v>
      </c>
      <c r="I4" s="1">
        <f xml:space="preserve"> 43.64</f>
        <v>43.64</v>
      </c>
      <c r="J4" s="1">
        <f xml:space="preserve"> 43.69</f>
        <v>43.69</v>
      </c>
      <c r="K4" s="1">
        <f xml:space="preserve"> 43.61</f>
        <v>43.61</v>
      </c>
      <c r="L4" s="1">
        <f xml:space="preserve"> AVERAGE(I4:K4)</f>
        <v>43.646666666666668</v>
      </c>
      <c r="M4" s="1">
        <f xml:space="preserve"> _xlfn.STDEV.S(I4:K4)</f>
        <v>4.0414518843272795E-2</v>
      </c>
      <c r="N4" s="1"/>
      <c r="O4" s="1"/>
      <c r="P4" s="1" t="s">
        <v>6</v>
      </c>
      <c r="Q4" s="1">
        <f xml:space="preserve"> 47.38</f>
        <v>47.38</v>
      </c>
      <c r="R4" s="1">
        <f xml:space="preserve"> 47.51</f>
        <v>47.51</v>
      </c>
      <c r="S4" s="1">
        <f xml:space="preserve"> 47.5</f>
        <v>47.5</v>
      </c>
      <c r="T4" s="1">
        <f xml:space="preserve"> AVERAGE(Q4:S4)</f>
        <v>47.463333333333331</v>
      </c>
      <c r="U4" s="1">
        <f xml:space="preserve"> _xlfn.STDEV.S(Q4:S4)</f>
        <v>7.2341781380700243E-2</v>
      </c>
    </row>
    <row r="5" spans="1:23" x14ac:dyDescent="0.35">
      <c r="A5" s="1" t="s">
        <v>7</v>
      </c>
      <c r="B5" s="1"/>
      <c r="C5" s="1"/>
      <c r="D5" s="1"/>
      <c r="E5" s="1"/>
      <c r="F5" s="1"/>
      <c r="G5" s="1"/>
      <c r="H5" s="1" t="s">
        <v>7</v>
      </c>
      <c r="I5" s="1">
        <f xml:space="preserve"> 42.92</f>
        <v>42.92</v>
      </c>
      <c r="J5" s="1">
        <f xml:space="preserve"> 42.71</f>
        <v>42.71</v>
      </c>
      <c r="K5" s="1">
        <f xml:space="preserve"> 42.84</f>
        <v>42.84</v>
      </c>
      <c r="L5" s="1">
        <f xml:space="preserve"> AVERAGE(I5:K5)</f>
        <v>42.823333333333331</v>
      </c>
      <c r="M5" s="1">
        <f xml:space="preserve"> _xlfn.STDEV.S(I5:K5)</f>
        <v>0.10598742063723156</v>
      </c>
      <c r="N5" s="1"/>
      <c r="O5" s="1"/>
      <c r="P5" s="1" t="s">
        <v>7</v>
      </c>
      <c r="Q5" s="1">
        <f xml:space="preserve"> 47.35</f>
        <v>47.35</v>
      </c>
      <c r="R5" s="1">
        <f xml:space="preserve"> 47.17</f>
        <v>47.17</v>
      </c>
      <c r="S5" s="1">
        <f xml:space="preserve"> 47.24</f>
        <v>47.24</v>
      </c>
      <c r="T5" s="1">
        <f xml:space="preserve"> AVERAGE(Q5:S5)</f>
        <v>47.253333333333337</v>
      </c>
      <c r="U5" s="1">
        <f xml:space="preserve"> _xlfn.STDEV.S(Q5:S5)</f>
        <v>9.0737717258774483E-2</v>
      </c>
    </row>
    <row r="6" spans="1:23" x14ac:dyDescent="0.35">
      <c r="A6" s="1" t="s">
        <v>8</v>
      </c>
      <c r="B6" s="1"/>
      <c r="C6" s="1"/>
      <c r="D6" s="1"/>
      <c r="E6" s="1"/>
      <c r="F6" s="1"/>
      <c r="G6" s="1"/>
      <c r="H6" s="1" t="s">
        <v>8</v>
      </c>
      <c r="I6" s="1">
        <f xml:space="preserve"> 42.26</f>
        <v>42.26</v>
      </c>
      <c r="J6" s="1">
        <f xml:space="preserve"> 41.66</f>
        <v>41.66</v>
      </c>
      <c r="K6" s="1">
        <f xml:space="preserve"> 42.47</f>
        <v>42.47</v>
      </c>
      <c r="L6" s="1">
        <f xml:space="preserve"> AVERAGE(I6:K6)</f>
        <v>42.129999999999995</v>
      </c>
      <c r="M6" s="1">
        <f xml:space="preserve"> _xlfn.STDEV.S(I6:K6)</f>
        <v>0.42035699113967517</v>
      </c>
      <c r="N6" s="1"/>
      <c r="O6" s="1"/>
      <c r="P6" s="1" t="s">
        <v>8</v>
      </c>
      <c r="Q6" s="1">
        <f xml:space="preserve"> 46.81</f>
        <v>46.81</v>
      </c>
      <c r="R6" s="1">
        <f xml:space="preserve"> 46.4</f>
        <v>46.4</v>
      </c>
      <c r="S6" s="1">
        <f xml:space="preserve"> 46.77</f>
        <v>46.77</v>
      </c>
      <c r="T6" s="1">
        <f xml:space="preserve"> AVERAGE(Q6:S6)</f>
        <v>46.660000000000004</v>
      </c>
      <c r="U6" s="1">
        <f xml:space="preserve"> _xlfn.STDEV.S(Q6:S6)</f>
        <v>0.22605309110914865</v>
      </c>
    </row>
    <row r="8" spans="1:23" ht="29" x14ac:dyDescent="0.35">
      <c r="A8" s="3" t="s">
        <v>41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/>
      <c r="H8" s="3" t="s">
        <v>41</v>
      </c>
      <c r="I8" s="1" t="s">
        <v>0</v>
      </c>
      <c r="J8" s="1" t="s">
        <v>1</v>
      </c>
      <c r="K8" s="1" t="s">
        <v>2</v>
      </c>
      <c r="L8" s="1" t="s">
        <v>3</v>
      </c>
      <c r="M8" s="1" t="s">
        <v>4</v>
      </c>
      <c r="N8" s="1"/>
      <c r="O8" s="1"/>
      <c r="P8" s="3" t="s">
        <v>41</v>
      </c>
      <c r="Q8" s="1" t="s">
        <v>0</v>
      </c>
      <c r="R8" s="1" t="s">
        <v>1</v>
      </c>
      <c r="S8" s="1" t="s">
        <v>2</v>
      </c>
      <c r="T8" s="1" t="s">
        <v>3</v>
      </c>
      <c r="U8" s="1" t="s">
        <v>4</v>
      </c>
    </row>
    <row r="9" spans="1:23" x14ac:dyDescent="0.35">
      <c r="A9" s="1" t="s">
        <v>6</v>
      </c>
      <c r="B9" s="1"/>
      <c r="C9" s="1"/>
      <c r="D9" s="1"/>
      <c r="E9" s="1"/>
      <c r="F9" s="1"/>
      <c r="G9" s="1"/>
      <c r="H9" s="1" t="s">
        <v>6</v>
      </c>
      <c r="I9" s="1">
        <f xml:space="preserve"> 43.97</f>
        <v>43.97</v>
      </c>
      <c r="J9" s="1">
        <f xml:space="preserve"> 43.21</f>
        <v>43.21</v>
      </c>
      <c r="K9" s="1">
        <f xml:space="preserve"> 43.75</f>
        <v>43.75</v>
      </c>
      <c r="L9" s="1">
        <f xml:space="preserve"> AVERAGE(I9:K9)</f>
        <v>43.643333333333338</v>
      </c>
      <c r="M9" s="1">
        <f xml:space="preserve"> _xlfn.STDEV.S(I9:K9)</f>
        <v>0.3910669166949981</v>
      </c>
      <c r="N9" s="1"/>
      <c r="O9" s="1"/>
      <c r="P9" s="1" t="s">
        <v>6</v>
      </c>
      <c r="Q9" s="1">
        <f xml:space="preserve"> 48.15</f>
        <v>48.15</v>
      </c>
      <c r="R9" s="1">
        <f xml:space="preserve"> 47.69</f>
        <v>47.69</v>
      </c>
      <c r="S9" s="1">
        <f xml:space="preserve"> 47.93</f>
        <v>47.93</v>
      </c>
      <c r="T9" s="1">
        <f xml:space="preserve"> AVERAGE(Q9:S9)</f>
        <v>47.923333333333339</v>
      </c>
      <c r="U9" s="1">
        <f xml:space="preserve"> _xlfn.STDEV.S(Q9:S9)</f>
        <v>0.23007245235649906</v>
      </c>
    </row>
    <row r="10" spans="1:23" x14ac:dyDescent="0.35">
      <c r="A10" s="1" t="s">
        <v>7</v>
      </c>
      <c r="B10" s="1"/>
      <c r="C10" s="1"/>
      <c r="D10" s="1"/>
      <c r="E10" s="1"/>
      <c r="F10" s="1"/>
      <c r="G10" s="1"/>
      <c r="H10" s="1" t="s">
        <v>7</v>
      </c>
      <c r="I10" s="1">
        <f xml:space="preserve"> 43.16</f>
        <v>43.16</v>
      </c>
      <c r="J10" s="1">
        <f xml:space="preserve"> 43.07</f>
        <v>43.07</v>
      </c>
      <c r="K10" s="1">
        <f xml:space="preserve"> 43.49</f>
        <v>43.49</v>
      </c>
      <c r="L10" s="1">
        <f xml:space="preserve"> AVERAGE(I10:K10)</f>
        <v>43.24</v>
      </c>
      <c r="M10" s="1">
        <f xml:space="preserve"> _xlfn.STDEV.S(I10:K10)</f>
        <v>0.22113344387496145</v>
      </c>
      <c r="N10" s="1"/>
      <c r="O10" s="1"/>
      <c r="P10" s="1" t="s">
        <v>7</v>
      </c>
      <c r="Q10" s="1">
        <f xml:space="preserve"> 47.91</f>
        <v>47.91</v>
      </c>
      <c r="R10" s="1">
        <f xml:space="preserve"> 47.87</f>
        <v>47.87</v>
      </c>
      <c r="S10" s="1">
        <f xml:space="preserve"> 48.02</f>
        <v>48.02</v>
      </c>
      <c r="T10" s="1">
        <f xml:space="preserve"> AVERAGE(Q10:S10)</f>
        <v>47.933333333333337</v>
      </c>
      <c r="U10" s="1">
        <f xml:space="preserve"> _xlfn.STDEV.S(Q10:S10)</f>
        <v>7.7674534651543586E-2</v>
      </c>
    </row>
    <row r="11" spans="1:23" x14ac:dyDescent="0.35">
      <c r="A11" s="1" t="s">
        <v>8</v>
      </c>
      <c r="B11" s="1"/>
      <c r="C11" s="1"/>
      <c r="D11" s="1"/>
      <c r="E11" s="1"/>
      <c r="F11" s="1"/>
      <c r="G11" s="1"/>
      <c r="H11" s="1" t="s">
        <v>8</v>
      </c>
      <c r="I11" s="1">
        <f xml:space="preserve"> 42.27</f>
        <v>42.27</v>
      </c>
      <c r="J11" s="1">
        <f xml:space="preserve"> 42.77</f>
        <v>42.77</v>
      </c>
      <c r="K11" s="1">
        <f xml:space="preserve"> 42.53</f>
        <v>42.53</v>
      </c>
      <c r="L11" s="1">
        <f xml:space="preserve"> AVERAGE(I11:K11)</f>
        <v>42.523333333333333</v>
      </c>
      <c r="M11" s="1">
        <f xml:space="preserve"> _xlfn.STDEV.S(I11:K11)</f>
        <v>0.25006665778014731</v>
      </c>
      <c r="N11" s="1"/>
      <c r="O11" s="1"/>
      <c r="P11" s="1" t="s">
        <v>8</v>
      </c>
      <c r="Q11" s="1">
        <f xml:space="preserve"> 47.15</f>
        <v>47.15</v>
      </c>
      <c r="R11" s="1">
        <f xml:space="preserve"> 48.3</f>
        <v>48.3</v>
      </c>
      <c r="S11" s="1">
        <f xml:space="preserve"> 47.65</f>
        <v>47.65</v>
      </c>
      <c r="T11" s="1">
        <f xml:space="preserve"> AVERAGE(Q11:S11)</f>
        <v>47.699999999999996</v>
      </c>
      <c r="U11" s="1">
        <f xml:space="preserve"> _xlfn.STDEV.S(Q11:S11)</f>
        <v>0.57662812973353905</v>
      </c>
    </row>
    <row r="13" spans="1:23" ht="29" x14ac:dyDescent="0.35">
      <c r="A13" s="3" t="s">
        <v>42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/>
      <c r="H13" s="3" t="s">
        <v>42</v>
      </c>
      <c r="I13" s="1" t="s">
        <v>0</v>
      </c>
      <c r="J13" s="1" t="s">
        <v>1</v>
      </c>
      <c r="K13" s="1" t="s">
        <v>2</v>
      </c>
      <c r="L13" s="1" t="s">
        <v>3</v>
      </c>
      <c r="M13" s="1" t="s">
        <v>4</v>
      </c>
      <c r="N13" s="1"/>
      <c r="O13" s="1"/>
      <c r="P13" s="3" t="s">
        <v>42</v>
      </c>
      <c r="Q13" s="1" t="s">
        <v>0</v>
      </c>
      <c r="R13" s="1" t="s">
        <v>1</v>
      </c>
      <c r="S13" s="1" t="s">
        <v>2</v>
      </c>
      <c r="T13" s="1" t="s">
        <v>3</v>
      </c>
      <c r="U13" s="1" t="s">
        <v>4</v>
      </c>
    </row>
    <row r="14" spans="1:23" x14ac:dyDescent="0.35">
      <c r="A14" s="1" t="s">
        <v>6</v>
      </c>
      <c r="B14" s="1"/>
      <c r="C14" s="1"/>
      <c r="D14" s="1"/>
      <c r="E14" s="1"/>
      <c r="F14" s="1"/>
      <c r="G14" s="1"/>
      <c r="H14" s="1" t="s">
        <v>6</v>
      </c>
      <c r="I14" s="1">
        <f xml:space="preserve"> 44.6</f>
        <v>44.6</v>
      </c>
      <c r="J14" s="1">
        <f xml:space="preserve"> 44.5</f>
        <v>44.5</v>
      </c>
      <c r="K14" s="1">
        <f xml:space="preserve"> 44.26</f>
        <v>44.26</v>
      </c>
      <c r="L14" s="1">
        <f xml:space="preserve"> AVERAGE(I14:K14)</f>
        <v>44.453333333333326</v>
      </c>
      <c r="M14" s="1">
        <f xml:space="preserve"> _xlfn.STDEV.S(I14:K14)</f>
        <v>0.1747378989610838</v>
      </c>
      <c r="N14" s="1"/>
      <c r="O14" s="1"/>
      <c r="P14" s="1" t="s">
        <v>6</v>
      </c>
      <c r="Q14" s="1">
        <f xml:space="preserve"> 49.36</f>
        <v>49.36</v>
      </c>
      <c r="R14" s="1">
        <f xml:space="preserve"> 49.4</f>
        <v>49.4</v>
      </c>
      <c r="S14" s="1">
        <f xml:space="preserve"> 48.86</f>
        <v>48.86</v>
      </c>
      <c r="T14" s="1">
        <f xml:space="preserve"> AVERAGE(Q14:S14)</f>
        <v>49.206666666666671</v>
      </c>
      <c r="U14" s="1">
        <f xml:space="preserve"> _xlfn.STDEV.S(Q14:S14)</f>
        <v>0.30088757590391324</v>
      </c>
    </row>
    <row r="15" spans="1:23" x14ac:dyDescent="0.35">
      <c r="A15" s="1" t="s">
        <v>7</v>
      </c>
      <c r="B15" s="1"/>
      <c r="C15" s="1"/>
      <c r="D15" s="1"/>
      <c r="E15" s="1"/>
      <c r="F15" s="1"/>
      <c r="G15" s="1"/>
      <c r="H15" s="1" t="s">
        <v>7</v>
      </c>
      <c r="I15" s="1">
        <f xml:space="preserve"> 43.42</f>
        <v>43.42</v>
      </c>
      <c r="J15" s="1">
        <f xml:space="preserve"> 43.53</f>
        <v>43.53</v>
      </c>
      <c r="K15" s="1">
        <f xml:space="preserve"> 43.86</f>
        <v>43.86</v>
      </c>
      <c r="L15" s="1">
        <f xml:space="preserve"> AVERAGE(I15:K15)</f>
        <v>43.603333333333332</v>
      </c>
      <c r="M15" s="1">
        <f xml:space="preserve"> _xlfn.STDEV.S(I15:K15)</f>
        <v>0.22898325994127341</v>
      </c>
      <c r="N15" s="1"/>
      <c r="O15" s="1"/>
      <c r="P15" s="1" t="s">
        <v>7</v>
      </c>
      <c r="Q15" s="1">
        <f xml:space="preserve"> 48.44</f>
        <v>48.44</v>
      </c>
      <c r="R15" s="1">
        <f xml:space="preserve"> 48.61</f>
        <v>48.61</v>
      </c>
      <c r="S15" s="1">
        <f xml:space="preserve"> 48.85</f>
        <v>48.85</v>
      </c>
      <c r="T15" s="1">
        <f xml:space="preserve"> AVERAGE(Q15:S15)</f>
        <v>48.633333333333333</v>
      </c>
      <c r="U15" s="1">
        <f xml:space="preserve"> _xlfn.STDEV.S(Q15:S15)</f>
        <v>0.20599352740640686</v>
      </c>
    </row>
    <row r="16" spans="1:23" x14ac:dyDescent="0.35">
      <c r="A16" s="1" t="s">
        <v>8</v>
      </c>
      <c r="B16" s="1"/>
      <c r="C16" s="1"/>
      <c r="D16" s="1"/>
      <c r="E16" s="1"/>
      <c r="F16" s="1"/>
      <c r="G16" s="1"/>
      <c r="H16" s="1" t="s">
        <v>8</v>
      </c>
      <c r="I16" s="1">
        <f xml:space="preserve"> 43.2</f>
        <v>43.2</v>
      </c>
      <c r="J16" s="1">
        <f xml:space="preserve"> 42.06</f>
        <v>42.06</v>
      </c>
      <c r="K16" s="1">
        <f xml:space="preserve"> 42.06</f>
        <v>42.06</v>
      </c>
      <c r="L16" s="1">
        <f xml:space="preserve"> AVERAGE(I16:K16)</f>
        <v>42.440000000000005</v>
      </c>
      <c r="M16" s="1">
        <f xml:space="preserve"> _xlfn.STDEV.S(I16:K16)</f>
        <v>0.65817930687617376</v>
      </c>
      <c r="N16" s="1"/>
      <c r="O16" s="1"/>
      <c r="P16" s="1" t="s">
        <v>8</v>
      </c>
      <c r="Q16" s="1">
        <f xml:space="preserve"> 48.73</f>
        <v>48.73</v>
      </c>
      <c r="R16" s="1">
        <f xml:space="preserve"> 47.62</f>
        <v>47.62</v>
      </c>
      <c r="S16" s="1">
        <f xml:space="preserve"> 47.63</f>
        <v>47.63</v>
      </c>
      <c r="T16" s="1">
        <f xml:space="preserve"> AVERAGE(Q16:S16)</f>
        <v>47.993333333333332</v>
      </c>
      <c r="U16" s="1">
        <f xml:space="preserve"> _xlfn.STDEV.S(Q16:S16)</f>
        <v>0.63799164048859691</v>
      </c>
    </row>
    <row r="18" spans="1:21" ht="29" x14ac:dyDescent="0.35">
      <c r="A18" s="3" t="s">
        <v>43</v>
      </c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1"/>
      <c r="H18" s="3" t="s">
        <v>43</v>
      </c>
      <c r="I18" s="1" t="s">
        <v>0</v>
      </c>
      <c r="J18" s="1" t="s">
        <v>1</v>
      </c>
      <c r="K18" s="1" t="s">
        <v>2</v>
      </c>
      <c r="L18" s="1" t="s">
        <v>3</v>
      </c>
      <c r="M18" s="1" t="s">
        <v>4</v>
      </c>
      <c r="N18" s="1"/>
      <c r="O18" s="1"/>
      <c r="P18" s="3" t="s">
        <v>43</v>
      </c>
      <c r="Q18" s="1" t="s">
        <v>0</v>
      </c>
      <c r="R18" s="1" t="s">
        <v>1</v>
      </c>
      <c r="S18" s="1" t="s">
        <v>2</v>
      </c>
      <c r="T18" s="1" t="s">
        <v>3</v>
      </c>
      <c r="U18" s="1" t="s">
        <v>4</v>
      </c>
    </row>
    <row r="19" spans="1:21" x14ac:dyDescent="0.35">
      <c r="A19" s="1" t="s">
        <v>6</v>
      </c>
      <c r="B19" s="1"/>
      <c r="C19" s="1"/>
      <c r="D19" s="1"/>
      <c r="E19" s="1"/>
      <c r="F19" s="1"/>
      <c r="G19" s="1"/>
      <c r="H19" s="1" t="s">
        <v>6</v>
      </c>
      <c r="I19" s="1">
        <f xml:space="preserve"> 45.14</f>
        <v>45.14</v>
      </c>
      <c r="J19" s="1">
        <f xml:space="preserve"> 44.51</f>
        <v>44.51</v>
      </c>
      <c r="K19" s="1">
        <f xml:space="preserve"> 44.88</f>
        <v>44.88</v>
      </c>
      <c r="L19" s="1">
        <f xml:space="preserve"> AVERAGE(I19:K19)</f>
        <v>44.843333333333334</v>
      </c>
      <c r="M19" s="1">
        <f xml:space="preserve"> _xlfn.STDEV.S(I19:K19)</f>
        <v>0.31659648345067615</v>
      </c>
      <c r="N19" s="1"/>
      <c r="O19" s="1"/>
      <c r="P19" s="1" t="s">
        <v>6</v>
      </c>
      <c r="Q19" s="1">
        <f xml:space="preserve"> 50.84</f>
        <v>50.84</v>
      </c>
      <c r="R19" s="1">
        <f xml:space="preserve"> 49.51</f>
        <v>49.51</v>
      </c>
      <c r="S19" s="1">
        <f xml:space="preserve"> 50.01</f>
        <v>50.01</v>
      </c>
      <c r="T19" s="1">
        <f xml:space="preserve"> AVERAGE(Q19:S19)</f>
        <v>50.12</v>
      </c>
      <c r="U19" s="1">
        <f xml:space="preserve"> _xlfn.STDEV.S(Q19:S19)</f>
        <v>0.67178865724274028</v>
      </c>
    </row>
    <row r="20" spans="1:21" x14ac:dyDescent="0.35">
      <c r="A20" s="1" t="s">
        <v>7</v>
      </c>
      <c r="B20" s="1"/>
      <c r="C20" s="1"/>
      <c r="D20" s="1"/>
      <c r="E20" s="1"/>
      <c r="F20" s="1"/>
      <c r="G20" s="1"/>
      <c r="H20" s="1" t="s">
        <v>7</v>
      </c>
      <c r="I20" s="1">
        <f xml:space="preserve"> 44.34</f>
        <v>44.34</v>
      </c>
      <c r="J20" s="1">
        <f xml:space="preserve"> 45.53</f>
        <v>45.53</v>
      </c>
      <c r="K20" s="1">
        <f xml:space="preserve"> 44.19</f>
        <v>44.19</v>
      </c>
      <c r="L20" s="1">
        <f xml:space="preserve"> AVERAGE(I20:K20)</f>
        <v>44.686666666666667</v>
      </c>
      <c r="M20" s="1">
        <f xml:space="preserve"> _xlfn.STDEV.S(I20:K20)</f>
        <v>0.73418889485835614</v>
      </c>
      <c r="N20" s="1"/>
      <c r="O20" s="1"/>
      <c r="P20" s="1" t="s">
        <v>7</v>
      </c>
      <c r="Q20" s="1">
        <f xml:space="preserve"> 49.43</f>
        <v>49.43</v>
      </c>
      <c r="R20" s="1">
        <f xml:space="preserve"> 50.47</f>
        <v>50.47</v>
      </c>
      <c r="S20" s="1">
        <f xml:space="preserve"> 49.15</f>
        <v>49.15</v>
      </c>
      <c r="T20" s="1">
        <f xml:space="preserve"> AVERAGE(Q20:S20)</f>
        <v>49.683333333333337</v>
      </c>
      <c r="U20" s="1">
        <f xml:space="preserve"> _xlfn.STDEV.S(Q20:S20)</f>
        <v>0.69550940563973196</v>
      </c>
    </row>
    <row r="21" spans="1:21" x14ac:dyDescent="0.35">
      <c r="A21" s="1" t="s">
        <v>8</v>
      </c>
      <c r="B21" s="1"/>
      <c r="C21" s="1"/>
      <c r="D21" s="1"/>
      <c r="E21" s="1"/>
      <c r="F21" s="1"/>
      <c r="G21" s="1"/>
      <c r="H21" s="1" t="s">
        <v>8</v>
      </c>
      <c r="I21" s="1">
        <f xml:space="preserve"> 42.31</f>
        <v>42.31</v>
      </c>
      <c r="J21" s="1">
        <f xml:space="preserve"> 42.65</f>
        <v>42.65</v>
      </c>
      <c r="K21" s="1">
        <f xml:space="preserve"> 42.23</f>
        <v>42.23</v>
      </c>
      <c r="L21" s="1">
        <f xml:space="preserve"> AVERAGE(I21:K21)</f>
        <v>42.396666666666668</v>
      </c>
      <c r="M21" s="1">
        <f xml:space="preserve"> _xlfn.STDEV.S(I21:K21)</f>
        <v>0.22300971578236967</v>
      </c>
      <c r="N21" s="1"/>
      <c r="O21" s="1"/>
      <c r="P21" s="1" t="s">
        <v>8</v>
      </c>
      <c r="Q21" s="1">
        <f xml:space="preserve"> 49.16</f>
        <v>49.16</v>
      </c>
      <c r="R21" s="1">
        <f xml:space="preserve"> 49.53</f>
        <v>49.53</v>
      </c>
      <c r="S21" s="1">
        <f xml:space="preserve"> 48.95</f>
        <v>48.95</v>
      </c>
      <c r="T21" s="1">
        <f xml:space="preserve"> AVERAGE(Q21:S21)</f>
        <v>49.213333333333331</v>
      </c>
      <c r="U21" s="1">
        <f xml:space="preserve"> _xlfn.STDEV.S(Q21:S21)</f>
        <v>0.29365512652316006</v>
      </c>
    </row>
    <row r="23" spans="1:21" ht="29" x14ac:dyDescent="0.35">
      <c r="A23" s="3" t="s">
        <v>44</v>
      </c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G23" s="1"/>
      <c r="H23" s="3" t="s">
        <v>44</v>
      </c>
      <c r="I23" s="1" t="s">
        <v>0</v>
      </c>
      <c r="J23" s="1" t="s">
        <v>1</v>
      </c>
      <c r="K23" s="1" t="s">
        <v>2</v>
      </c>
      <c r="L23" s="1" t="s">
        <v>3</v>
      </c>
      <c r="M23" s="1" t="s">
        <v>4</v>
      </c>
      <c r="N23" s="1"/>
      <c r="O23" s="1"/>
      <c r="P23" s="3" t="s">
        <v>44</v>
      </c>
      <c r="Q23" s="1" t="s">
        <v>0</v>
      </c>
      <c r="R23" s="1" t="s">
        <v>1</v>
      </c>
      <c r="S23" s="1" t="s">
        <v>2</v>
      </c>
      <c r="T23" s="1" t="s">
        <v>3</v>
      </c>
      <c r="U23" s="1" t="s">
        <v>4</v>
      </c>
    </row>
    <row r="24" spans="1:21" x14ac:dyDescent="0.35">
      <c r="A24" s="1" t="s">
        <v>6</v>
      </c>
      <c r="B24" s="1"/>
      <c r="C24" s="1"/>
      <c r="D24" s="1"/>
      <c r="E24" s="1"/>
      <c r="F24" s="1"/>
      <c r="G24" s="1"/>
      <c r="H24" s="1" t="s">
        <v>6</v>
      </c>
      <c r="I24" s="1">
        <f xml:space="preserve"> 44.13</f>
        <v>44.13</v>
      </c>
      <c r="J24" s="1">
        <f xml:space="preserve"> 44.15</f>
        <v>44.15</v>
      </c>
      <c r="K24" s="1">
        <f xml:space="preserve"> 44.11</f>
        <v>44.11</v>
      </c>
      <c r="L24" s="1">
        <f xml:space="preserve"> AVERAGE(I24:K24)</f>
        <v>44.129999999999995</v>
      </c>
      <c r="M24" s="1">
        <f xml:space="preserve"> _xlfn.STDEV.S(I24:K24)</f>
        <v>1.9999999999999574E-2</v>
      </c>
      <c r="N24" s="1"/>
      <c r="O24" s="1"/>
      <c r="P24" s="1" t="s">
        <v>6</v>
      </c>
      <c r="Q24" s="1">
        <f xml:space="preserve"> 48.61</f>
        <v>48.61</v>
      </c>
      <c r="R24" s="1">
        <f xml:space="preserve"> 48.97</f>
        <v>48.97</v>
      </c>
      <c r="S24" s="1">
        <f xml:space="preserve"> 48.8</f>
        <v>48.8</v>
      </c>
      <c r="T24" s="1">
        <f xml:space="preserve"> AVERAGE(Q24:S24)</f>
        <v>48.793333333333329</v>
      </c>
      <c r="U24" s="1">
        <f xml:space="preserve"> _xlfn.STDEV.S(Q24:S24)</f>
        <v>0.18009256878986765</v>
      </c>
    </row>
    <row r="25" spans="1:21" x14ac:dyDescent="0.35">
      <c r="A25" s="1" t="s">
        <v>7</v>
      </c>
      <c r="B25" s="1"/>
      <c r="C25" s="1"/>
      <c r="D25" s="1"/>
      <c r="E25" s="1"/>
      <c r="F25" s="1"/>
      <c r="G25" s="1"/>
      <c r="H25" s="1" t="s">
        <v>7</v>
      </c>
      <c r="I25" s="1">
        <f xml:space="preserve"> 45</f>
        <v>45</v>
      </c>
      <c r="J25" s="1">
        <f xml:space="preserve"> 46.03</f>
        <v>46.03</v>
      </c>
      <c r="K25" s="1">
        <f xml:space="preserve"> 46.15</f>
        <v>46.15</v>
      </c>
      <c r="L25" s="1">
        <f xml:space="preserve"> AVERAGE(I25:K25)</f>
        <v>45.726666666666667</v>
      </c>
      <c r="M25" s="1">
        <f xml:space="preserve"> _xlfn.STDEV.S(I25:K25)</f>
        <v>0.63216559012123796</v>
      </c>
      <c r="N25" s="1"/>
      <c r="O25" s="1"/>
      <c r="P25" s="1" t="s">
        <v>7</v>
      </c>
      <c r="Q25" s="1">
        <f xml:space="preserve"> 50.57</f>
        <v>50.57</v>
      </c>
      <c r="R25" s="1">
        <f xml:space="preserve"> 51.44</f>
        <v>51.44</v>
      </c>
      <c r="S25" s="1">
        <f xml:space="preserve"> 51.19</f>
        <v>51.19</v>
      </c>
      <c r="T25" s="1">
        <f xml:space="preserve"> AVERAGE(Q25:S25)</f>
        <v>51.066666666666663</v>
      </c>
      <c r="U25" s="1">
        <f xml:space="preserve"> _xlfn.STDEV.S(Q25:S25)</f>
        <v>0.44792112400882822</v>
      </c>
    </row>
    <row r="26" spans="1:21" x14ac:dyDescent="0.35">
      <c r="A26" s="1" t="s">
        <v>8</v>
      </c>
      <c r="B26" s="1"/>
      <c r="C26" s="1"/>
      <c r="D26" s="1"/>
      <c r="E26" s="1"/>
      <c r="F26" s="1"/>
      <c r="G26" s="1"/>
      <c r="H26" s="1" t="s">
        <v>8</v>
      </c>
      <c r="I26" s="1">
        <f xml:space="preserve"> 43.16</f>
        <v>43.16</v>
      </c>
      <c r="J26" s="1">
        <f xml:space="preserve"> 43.13</f>
        <v>43.13</v>
      </c>
      <c r="K26" s="1">
        <f xml:space="preserve"> 42.49</f>
        <v>42.49</v>
      </c>
      <c r="L26" s="1">
        <f xml:space="preserve"> AVERAGE(I26:K26)</f>
        <v>42.926666666666669</v>
      </c>
      <c r="M26" s="1">
        <f xml:space="preserve"> _xlfn.STDEV.S(I26:K26)</f>
        <v>0.3784617990409761</v>
      </c>
      <c r="N26" s="1"/>
      <c r="O26" s="1"/>
      <c r="P26" s="1" t="s">
        <v>8</v>
      </c>
      <c r="Q26" s="1">
        <f xml:space="preserve"> 49.37</f>
        <v>49.37</v>
      </c>
      <c r="R26" s="1">
        <f xml:space="preserve"> 49.88</f>
        <v>49.88</v>
      </c>
      <c r="S26" s="1">
        <f xml:space="preserve"> 49.58</f>
        <v>49.58</v>
      </c>
      <c r="T26" s="1">
        <f xml:space="preserve"> AVERAGE(Q26:S26)</f>
        <v>49.609999999999992</v>
      </c>
      <c r="U26" s="1">
        <f xml:space="preserve"> _xlfn.STDEV.S(Q26:S26)</f>
        <v>0.25632011235952856</v>
      </c>
    </row>
    <row r="28" spans="1:21" ht="29" x14ac:dyDescent="0.35">
      <c r="A28" s="3" t="s">
        <v>21</v>
      </c>
      <c r="B28" s="1" t="s">
        <v>0</v>
      </c>
      <c r="C28" s="1" t="s">
        <v>1</v>
      </c>
      <c r="D28" s="1" t="s">
        <v>2</v>
      </c>
      <c r="E28" s="1" t="s">
        <v>3</v>
      </c>
      <c r="F28" s="1" t="s">
        <v>4</v>
      </c>
      <c r="G28" s="1"/>
      <c r="H28" s="3" t="s">
        <v>21</v>
      </c>
      <c r="I28" s="1" t="s">
        <v>0</v>
      </c>
      <c r="J28" s="1" t="s">
        <v>1</v>
      </c>
      <c r="K28" s="1" t="s">
        <v>2</v>
      </c>
      <c r="L28" s="1" t="s">
        <v>3</v>
      </c>
      <c r="M28" s="1" t="s">
        <v>4</v>
      </c>
      <c r="N28" s="1"/>
      <c r="O28" s="1"/>
      <c r="P28" s="3" t="s">
        <v>21</v>
      </c>
      <c r="Q28" s="1" t="s">
        <v>0</v>
      </c>
      <c r="R28" s="1" t="s">
        <v>1</v>
      </c>
      <c r="S28" s="1" t="s">
        <v>2</v>
      </c>
      <c r="T28" s="1" t="s">
        <v>3</v>
      </c>
      <c r="U28" s="1" t="s">
        <v>4</v>
      </c>
    </row>
    <row r="29" spans="1:21" x14ac:dyDescent="0.35">
      <c r="A29" s="1"/>
      <c r="B29" s="1"/>
      <c r="C29" s="1"/>
      <c r="D29" s="1"/>
      <c r="E29" s="1"/>
      <c r="F29" s="1"/>
      <c r="G29" s="1"/>
      <c r="H29" s="1" t="s">
        <v>6</v>
      </c>
      <c r="I29" s="1">
        <f xml:space="preserve"> 44.51</f>
        <v>44.51</v>
      </c>
      <c r="J29" s="1">
        <f xml:space="preserve"> 44.5</f>
        <v>44.5</v>
      </c>
      <c r="K29" s="1">
        <f xml:space="preserve"> 44.61</f>
        <v>44.61</v>
      </c>
      <c r="L29" s="1">
        <f xml:space="preserve"> AVERAGE(I29:K29)</f>
        <v>44.54</v>
      </c>
      <c r="M29" s="1">
        <f xml:space="preserve"> _xlfn.STDEV.S(I29:K29)</f>
        <v>6.0827625302982365E-2</v>
      </c>
      <c r="N29" s="1"/>
      <c r="O29" s="1"/>
      <c r="P29" s="1" t="s">
        <v>6</v>
      </c>
      <c r="Q29" s="1">
        <f xml:space="preserve"> 48.93</f>
        <v>48.93</v>
      </c>
      <c r="R29" s="1">
        <f xml:space="preserve"> 49.14</f>
        <v>49.14</v>
      </c>
      <c r="S29" s="1">
        <f xml:space="preserve"> 49.1</f>
        <v>49.1</v>
      </c>
      <c r="T29" s="1">
        <f xml:space="preserve"> AVERAGE(Q29:S29)</f>
        <v>49.056666666666665</v>
      </c>
      <c r="U29" s="1">
        <f xml:space="preserve"> _xlfn.STDEV.S(Q29:S29)</f>
        <v>0.11150485789118553</v>
      </c>
    </row>
    <row r="30" spans="1:21" x14ac:dyDescent="0.35">
      <c r="A30" s="1"/>
      <c r="B30" s="1"/>
      <c r="C30" s="1"/>
      <c r="D30" s="1"/>
      <c r="E30" s="1"/>
      <c r="F30" s="1"/>
      <c r="G30" s="1"/>
      <c r="H30" s="1" t="s">
        <v>7</v>
      </c>
      <c r="I30" s="1">
        <f xml:space="preserve"> 44.85</f>
        <v>44.85</v>
      </c>
      <c r="J30" s="1">
        <f xml:space="preserve"> 45.2</f>
        <v>45.2</v>
      </c>
      <c r="K30" s="1">
        <f xml:space="preserve"> 46.49</f>
        <v>46.49</v>
      </c>
      <c r="L30" s="1">
        <f xml:space="preserve"> AVERAGE(I30:K30)</f>
        <v>45.513333333333343</v>
      </c>
      <c r="M30" s="1">
        <f xml:space="preserve"> _xlfn.STDEV.S(I30:K30)</f>
        <v>0.86373221158721036</v>
      </c>
      <c r="N30" s="1"/>
      <c r="O30" s="1"/>
      <c r="P30" s="1" t="s">
        <v>7</v>
      </c>
      <c r="Q30" s="1">
        <f xml:space="preserve"> 51.11</f>
        <v>51.11</v>
      </c>
      <c r="R30" s="1">
        <f xml:space="preserve"> 50.7</f>
        <v>50.7</v>
      </c>
      <c r="S30" s="1">
        <f xml:space="preserve"> 51.73</f>
        <v>51.73</v>
      </c>
      <c r="T30" s="1">
        <f xml:space="preserve"> AVERAGE(Q30:S30)</f>
        <v>51.18</v>
      </c>
      <c r="U30" s="1">
        <f xml:space="preserve"> _xlfn.STDEV.S(Q30:S30)</f>
        <v>0.51855568649856398</v>
      </c>
    </row>
    <row r="31" spans="1:21" x14ac:dyDescent="0.35">
      <c r="A31" s="1"/>
      <c r="B31" s="1"/>
      <c r="C31" s="1"/>
      <c r="D31" s="1"/>
      <c r="E31" s="1"/>
      <c r="F31" s="1"/>
      <c r="G31" s="1"/>
      <c r="H31" s="1" t="s">
        <v>8</v>
      </c>
      <c r="I31" s="1">
        <f xml:space="preserve"> 42.95</f>
        <v>42.95</v>
      </c>
      <c r="J31" s="1">
        <f xml:space="preserve"> 43.77</f>
        <v>43.77</v>
      </c>
      <c r="K31" s="1">
        <f xml:space="preserve"> 43.84</f>
        <v>43.84</v>
      </c>
      <c r="L31" s="1">
        <f xml:space="preserve"> AVERAGE(I31:K31)</f>
        <v>43.52</v>
      </c>
      <c r="M31" s="1">
        <f xml:space="preserve"> _xlfn.STDEV.S(I31:K31)</f>
        <v>0.4948737212663451</v>
      </c>
      <c r="N31" s="1"/>
      <c r="O31" s="1"/>
      <c r="P31" s="1" t="s">
        <v>8</v>
      </c>
      <c r="Q31" s="1">
        <f xml:space="preserve"> 49.85</f>
        <v>49.85</v>
      </c>
      <c r="R31" s="1">
        <f xml:space="preserve"> 49.95</f>
        <v>49.95</v>
      </c>
      <c r="S31" s="1">
        <f xml:space="preserve"> 49.88</f>
        <v>49.88</v>
      </c>
      <c r="T31" s="1">
        <f xml:space="preserve"> AVERAGE(Q31:S31)</f>
        <v>49.893333333333338</v>
      </c>
      <c r="U31" s="1">
        <f xml:space="preserve"> _xlfn.STDEV.S(Q31:S31)</f>
        <v>5.1316014394469478E-2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F8E1-B2A3-4A38-9DBA-EDADA011D744}">
  <dimension ref="A1:X31"/>
  <sheetViews>
    <sheetView topLeftCell="G2" zoomScale="70" zoomScaleNormal="70" workbookViewId="0">
      <selection activeCell="X21" sqref="X21"/>
    </sheetView>
  </sheetViews>
  <sheetFormatPr defaultRowHeight="14.5" x14ac:dyDescent="0.35"/>
  <cols>
    <col min="1" max="1" width="21.6328125" bestFit="1" customWidth="1"/>
    <col min="9" max="9" width="19" bestFit="1" customWidth="1"/>
    <col min="16" max="16" width="13.90625" customWidth="1"/>
    <col min="17" max="17" width="20.90625" bestFit="1" customWidth="1"/>
  </cols>
  <sheetData>
    <row r="1" spans="1:24" ht="29" x14ac:dyDescent="0.35">
      <c r="A1" s="2" t="s">
        <v>10</v>
      </c>
      <c r="B1" s="1"/>
      <c r="D1" s="1"/>
      <c r="E1" s="1"/>
      <c r="F1" s="1"/>
      <c r="G1" s="1"/>
      <c r="H1" s="1"/>
      <c r="I1" s="2" t="s">
        <v>11</v>
      </c>
      <c r="J1" t="s">
        <v>24</v>
      </c>
      <c r="L1" s="1"/>
      <c r="M1" s="1"/>
      <c r="N1" s="1"/>
      <c r="O1" s="1"/>
      <c r="P1" s="1"/>
      <c r="Q1" s="2" t="s">
        <v>28</v>
      </c>
      <c r="R1" t="s">
        <v>25</v>
      </c>
      <c r="T1" s="1"/>
      <c r="U1" s="1"/>
      <c r="V1" s="1"/>
      <c r="W1" s="1"/>
      <c r="X1" s="1"/>
    </row>
    <row r="2" spans="1:24" ht="58" x14ac:dyDescent="0.35">
      <c r="A2" s="3" t="s">
        <v>9</v>
      </c>
      <c r="B2" t="s">
        <v>22</v>
      </c>
      <c r="D2" s="1"/>
      <c r="E2" s="1"/>
      <c r="F2" s="1"/>
      <c r="G2" s="1"/>
      <c r="H2" s="1"/>
      <c r="I2" s="1" t="s">
        <v>26</v>
      </c>
      <c r="J2" t="s">
        <v>23</v>
      </c>
      <c r="L2" s="1"/>
      <c r="M2" s="1"/>
      <c r="N2" s="1"/>
      <c r="O2" s="1"/>
      <c r="P2" s="1"/>
      <c r="Q2" s="1" t="s">
        <v>26</v>
      </c>
      <c r="R2" t="s">
        <v>27</v>
      </c>
      <c r="T2" s="1"/>
      <c r="U2" s="1"/>
      <c r="V2" s="1"/>
      <c r="W2" s="1"/>
      <c r="X2" s="1"/>
    </row>
    <row r="3" spans="1:24" ht="29" x14ac:dyDescent="0.35">
      <c r="Q3" s="3" t="s">
        <v>34</v>
      </c>
      <c r="R3" s="1" t="s">
        <v>0</v>
      </c>
      <c r="S3" s="1" t="s">
        <v>1</v>
      </c>
      <c r="T3" s="1" t="s">
        <v>2</v>
      </c>
      <c r="U3" s="1" t="s">
        <v>3</v>
      </c>
      <c r="V3" s="1" t="s">
        <v>4</v>
      </c>
    </row>
    <row r="4" spans="1:24" x14ac:dyDescent="0.35">
      <c r="Q4" s="1" t="s">
        <v>6</v>
      </c>
      <c r="R4" s="1">
        <f xml:space="preserve"> 47.59</f>
        <v>47.59</v>
      </c>
      <c r="S4" s="1">
        <f xml:space="preserve"> 47.69</f>
        <v>47.69</v>
      </c>
      <c r="T4" s="1">
        <f xml:space="preserve"> 47.61</f>
        <v>47.61</v>
      </c>
      <c r="U4" s="1">
        <f xml:space="preserve"> AVERAGE(R4:T4)</f>
        <v>47.629999999999995</v>
      </c>
      <c r="V4" s="1">
        <f xml:space="preserve"> _xlfn.STDEV.S(R4:T4)</f>
        <v>5.2915026221289338E-2</v>
      </c>
    </row>
    <row r="5" spans="1:24" x14ac:dyDescent="0.35">
      <c r="Q5" s="1" t="s">
        <v>7</v>
      </c>
      <c r="R5" s="1">
        <f xml:space="preserve"> 47.27</f>
        <v>47.27</v>
      </c>
      <c r="S5" s="1">
        <f xml:space="preserve"> 47.47</f>
        <v>47.47</v>
      </c>
      <c r="T5" s="1">
        <f xml:space="preserve"> 47.25</f>
        <v>47.25</v>
      </c>
      <c r="U5" s="1">
        <f xml:space="preserve"> AVERAGE(R5:T5)</f>
        <v>47.330000000000005</v>
      </c>
      <c r="V5" s="1">
        <f xml:space="preserve"> _xlfn.STDEV.S(R5:T5)</f>
        <v>0.12165525060596297</v>
      </c>
    </row>
    <row r="6" spans="1:24" x14ac:dyDescent="0.35">
      <c r="Q6" s="1" t="s">
        <v>8</v>
      </c>
      <c r="R6" s="1">
        <f xml:space="preserve"> 46.98</f>
        <v>46.98</v>
      </c>
      <c r="S6" s="1">
        <f xml:space="preserve"> 46.75</f>
        <v>46.75</v>
      </c>
      <c r="T6" s="1">
        <f xml:space="preserve"> 46.75</f>
        <v>46.75</v>
      </c>
      <c r="U6" s="1">
        <f xml:space="preserve"> AVERAGE(R6:T6)</f>
        <v>46.826666666666661</v>
      </c>
      <c r="V6" s="1">
        <f xml:space="preserve"> _xlfn.STDEV.S(R6:T6)</f>
        <v>0.1327905619136121</v>
      </c>
    </row>
    <row r="8" spans="1:24" ht="29" x14ac:dyDescent="0.35">
      <c r="Q8" s="3" t="s">
        <v>36</v>
      </c>
      <c r="R8" s="1" t="s">
        <v>0</v>
      </c>
      <c r="S8" s="1" t="s">
        <v>1</v>
      </c>
      <c r="T8" s="1" t="s">
        <v>2</v>
      </c>
      <c r="U8" s="1" t="s">
        <v>3</v>
      </c>
      <c r="V8" s="1" t="s">
        <v>4</v>
      </c>
    </row>
    <row r="9" spans="1:24" x14ac:dyDescent="0.35">
      <c r="Q9" s="1" t="s">
        <v>6</v>
      </c>
      <c r="R9" s="1">
        <f xml:space="preserve"> 47.92</f>
        <v>47.92</v>
      </c>
      <c r="S9" s="1">
        <f xml:space="preserve"> 48.77</f>
        <v>48.77</v>
      </c>
      <c r="T9" s="1">
        <f xml:space="preserve"> 48.22</f>
        <v>48.22</v>
      </c>
      <c r="U9" s="1">
        <f xml:space="preserve"> AVERAGE(R9:T9)</f>
        <v>48.303333333333335</v>
      </c>
      <c r="V9" s="1">
        <f xml:space="preserve"> _xlfn.STDEV.S(R9:T9)</f>
        <v>0.43108390521258649</v>
      </c>
    </row>
    <row r="10" spans="1:24" x14ac:dyDescent="0.35">
      <c r="Q10" s="1" t="s">
        <v>7</v>
      </c>
      <c r="R10" s="1">
        <f xml:space="preserve"> 47.54</f>
        <v>47.54</v>
      </c>
      <c r="S10" s="1">
        <f xml:space="preserve"> 47.54</f>
        <v>47.54</v>
      </c>
      <c r="T10" s="1">
        <f xml:space="preserve"> 47.69</f>
        <v>47.69</v>
      </c>
      <c r="U10" s="1">
        <f xml:space="preserve"> AVERAGE(R10:T10)</f>
        <v>47.589999999999996</v>
      </c>
      <c r="V10" s="1">
        <f xml:space="preserve"> _xlfn.STDEV.S(R10:T10)</f>
        <v>8.6602540378443046E-2</v>
      </c>
    </row>
    <row r="11" spans="1:24" x14ac:dyDescent="0.35">
      <c r="Q11" s="1" t="s">
        <v>8</v>
      </c>
      <c r="R11" s="1">
        <f xml:space="preserve"> 46.45</f>
        <v>46.45</v>
      </c>
      <c r="S11" s="1">
        <f xml:space="preserve"> 46.28</f>
        <v>46.28</v>
      </c>
      <c r="T11" s="1">
        <f xml:space="preserve"> 46.53</f>
        <v>46.53</v>
      </c>
      <c r="U11" s="1">
        <f xml:space="preserve"> AVERAGE(R11:T11)</f>
        <v>46.419999999999995</v>
      </c>
      <c r="V11" s="1">
        <f xml:space="preserve"> _xlfn.STDEV.S(R11:T11)</f>
        <v>0.12767145334803726</v>
      </c>
    </row>
    <row r="13" spans="1:24" ht="29" x14ac:dyDescent="0.35">
      <c r="Q13" s="3" t="s">
        <v>37</v>
      </c>
      <c r="R13" s="1" t="s">
        <v>0</v>
      </c>
      <c r="S13" s="1" t="s">
        <v>1</v>
      </c>
      <c r="T13" s="1" t="s">
        <v>2</v>
      </c>
      <c r="U13" s="1" t="s">
        <v>3</v>
      </c>
      <c r="V13" s="1" t="s">
        <v>4</v>
      </c>
    </row>
    <row r="14" spans="1:24" x14ac:dyDescent="0.35">
      <c r="Q14" s="1" t="s">
        <v>6</v>
      </c>
      <c r="R14" s="1">
        <f xml:space="preserve"> 47.66</f>
        <v>47.66</v>
      </c>
      <c r="S14" s="1">
        <f xml:space="preserve"> 47.58</f>
        <v>47.58</v>
      </c>
      <c r="T14" s="1">
        <f xml:space="preserve"> 47.51</f>
        <v>47.51</v>
      </c>
      <c r="U14" s="1">
        <f xml:space="preserve"> AVERAGE(R14:T14)</f>
        <v>47.583333333333336</v>
      </c>
      <c r="V14" s="1">
        <f xml:space="preserve"> _xlfn.STDEV.S(R14:T14)</f>
        <v>7.5055534994650619E-2</v>
      </c>
    </row>
    <row r="15" spans="1:24" x14ac:dyDescent="0.35">
      <c r="Q15" s="1" t="s">
        <v>7</v>
      </c>
      <c r="R15" s="1">
        <f xml:space="preserve"> 47.4</f>
        <v>47.4</v>
      </c>
      <c r="S15" s="1">
        <f xml:space="preserve"> 47.53</f>
        <v>47.53</v>
      </c>
      <c r="T15" s="1">
        <f xml:space="preserve"> 48.59</f>
        <v>48.59</v>
      </c>
      <c r="U15" s="1">
        <f xml:space="preserve"> AVERAGE(R15:T15)</f>
        <v>47.84</v>
      </c>
      <c r="V15" s="1">
        <f xml:space="preserve"> _xlfn.STDEV.S(R15:T15)</f>
        <v>0.65276335681470576</v>
      </c>
    </row>
    <row r="16" spans="1:24" x14ac:dyDescent="0.35">
      <c r="Q16" s="1" t="s">
        <v>8</v>
      </c>
      <c r="R16" s="1">
        <f xml:space="preserve"> 46.27</f>
        <v>46.27</v>
      </c>
      <c r="S16" s="1">
        <f xml:space="preserve"> 46.5</f>
        <v>46.5</v>
      </c>
      <c r="T16" s="1">
        <f xml:space="preserve"> 46.5</f>
        <v>46.5</v>
      </c>
      <c r="U16" s="1">
        <f xml:space="preserve"> AVERAGE(R16:T16)</f>
        <v>46.423333333333339</v>
      </c>
      <c r="V16" s="1">
        <f xml:space="preserve"> _xlfn.STDEV.S(R16:T16)</f>
        <v>0.1327905619136121</v>
      </c>
    </row>
    <row r="18" spans="17:22" ht="29" x14ac:dyDescent="0.35">
      <c r="Q18" s="3" t="s">
        <v>38</v>
      </c>
      <c r="R18" s="1" t="s">
        <v>0</v>
      </c>
      <c r="S18" s="1" t="s">
        <v>1</v>
      </c>
      <c r="T18" s="1" t="s">
        <v>2</v>
      </c>
      <c r="U18" s="1" t="s">
        <v>3</v>
      </c>
      <c r="V18" s="1" t="s">
        <v>4</v>
      </c>
    </row>
    <row r="19" spans="17:22" x14ac:dyDescent="0.35">
      <c r="Q19" s="1" t="s">
        <v>6</v>
      </c>
      <c r="R19" s="1">
        <f xml:space="preserve"> 47.36</f>
        <v>47.36</v>
      </c>
      <c r="S19" s="1">
        <f xml:space="preserve"> 47.58</f>
        <v>47.58</v>
      </c>
      <c r="T19" s="1">
        <f xml:space="preserve"> 47.56</f>
        <v>47.56</v>
      </c>
      <c r="U19" s="1">
        <f xml:space="preserve"> AVERAGE(R19:T19)</f>
        <v>47.5</v>
      </c>
      <c r="V19" s="1">
        <f xml:space="preserve"> _xlfn.STDEV.S(R19:T19)</f>
        <v>0.12165525060596472</v>
      </c>
    </row>
    <row r="20" spans="17:22" x14ac:dyDescent="0.35">
      <c r="Q20" s="1" t="s">
        <v>7</v>
      </c>
      <c r="R20" s="1">
        <f xml:space="preserve"> 47.05</f>
        <v>47.05</v>
      </c>
      <c r="S20" s="1">
        <f xml:space="preserve"> 47.25</f>
        <v>47.25</v>
      </c>
      <c r="T20" s="1">
        <f xml:space="preserve"> 47.02</f>
        <v>47.02</v>
      </c>
      <c r="U20" s="1">
        <f xml:space="preserve"> AVERAGE(R20:T20)</f>
        <v>47.106666666666662</v>
      </c>
      <c r="V20" s="1">
        <f xml:space="preserve"> _xlfn.STDEV.S(R20:T20)</f>
        <v>0.12503332889007324</v>
      </c>
    </row>
    <row r="21" spans="17:22" x14ac:dyDescent="0.35">
      <c r="Q21" s="1" t="s">
        <v>8</v>
      </c>
      <c r="R21" s="1">
        <f xml:space="preserve"> 45.65</f>
        <v>45.65</v>
      </c>
      <c r="S21" s="1">
        <f xml:space="preserve"> 45.24</f>
        <v>45.24</v>
      </c>
      <c r="T21" s="1">
        <f xml:space="preserve"> 45.33</f>
        <v>45.33</v>
      </c>
      <c r="U21" s="1">
        <f xml:space="preserve"> AVERAGE(R21:T21)</f>
        <v>45.406666666666666</v>
      </c>
      <c r="V21" s="1">
        <f xml:space="preserve"> _xlfn.STDEV.S(R21:T21)</f>
        <v>0.21548395145191854</v>
      </c>
    </row>
    <row r="23" spans="17:22" ht="29" x14ac:dyDescent="0.35">
      <c r="Q23" s="3" t="s">
        <v>39</v>
      </c>
      <c r="R23" s="1" t="s">
        <v>0</v>
      </c>
      <c r="S23" s="1" t="s">
        <v>1</v>
      </c>
      <c r="T23" s="1" t="s">
        <v>2</v>
      </c>
      <c r="U23" s="1" t="s">
        <v>3</v>
      </c>
      <c r="V23" s="1" t="s">
        <v>4</v>
      </c>
    </row>
    <row r="24" spans="17:22" x14ac:dyDescent="0.35">
      <c r="Q24" s="1" t="s">
        <v>6</v>
      </c>
      <c r="R24" s="1">
        <f xml:space="preserve"> 47.52</f>
        <v>47.52</v>
      </c>
      <c r="S24" s="1">
        <f xml:space="preserve"> 47.56</f>
        <v>47.56</v>
      </c>
      <c r="T24" s="1">
        <f xml:space="preserve"> 47.38</f>
        <v>47.38</v>
      </c>
      <c r="U24" s="1">
        <f xml:space="preserve"> AVERAGE(R24:T24)</f>
        <v>47.486666666666672</v>
      </c>
      <c r="V24" s="1">
        <f xml:space="preserve"> _xlfn.STDEV.S(R24:T24)</f>
        <v>9.451631252505216E-2</v>
      </c>
    </row>
    <row r="25" spans="17:22" x14ac:dyDescent="0.35">
      <c r="Q25" s="1" t="s">
        <v>7</v>
      </c>
      <c r="R25" s="1">
        <f xml:space="preserve"> 46.19</f>
        <v>46.19</v>
      </c>
      <c r="S25" s="1">
        <f xml:space="preserve"> 46.25</f>
        <v>46.25</v>
      </c>
      <c r="T25" s="1">
        <f xml:space="preserve"> 45.83</f>
        <v>45.83</v>
      </c>
      <c r="U25" s="1">
        <f xml:space="preserve"> AVERAGE(R25:T25)</f>
        <v>46.089999999999996</v>
      </c>
      <c r="V25" s="1">
        <f xml:space="preserve"> _xlfn.STDEV.S(R25:T25)</f>
        <v>0.22715633383201142</v>
      </c>
    </row>
    <row r="26" spans="17:22" x14ac:dyDescent="0.35">
      <c r="Q26" s="1" t="s">
        <v>8</v>
      </c>
      <c r="R26" s="1">
        <f xml:space="preserve"> 47.64</f>
        <v>47.64</v>
      </c>
      <c r="S26" s="1">
        <f xml:space="preserve"> 47.67</f>
        <v>47.67</v>
      </c>
      <c r="T26" s="1">
        <f xml:space="preserve"> 47.68</f>
        <v>47.68</v>
      </c>
      <c r="U26" s="1">
        <f xml:space="preserve"> AVERAGE(R26:T26)</f>
        <v>47.663333333333334</v>
      </c>
      <c r="V26" s="1">
        <f xml:space="preserve"> _xlfn.STDEV.S(R26:T26)</f>
        <v>2.0816659994661167E-2</v>
      </c>
    </row>
    <row r="28" spans="17:22" ht="29" x14ac:dyDescent="0.35">
      <c r="Q28" s="3" t="s">
        <v>35</v>
      </c>
      <c r="R28" s="1" t="s">
        <v>0</v>
      </c>
      <c r="S28" s="1" t="s">
        <v>1</v>
      </c>
      <c r="T28" s="1" t="s">
        <v>2</v>
      </c>
      <c r="U28" s="1" t="s">
        <v>3</v>
      </c>
      <c r="V28" s="1" t="s">
        <v>4</v>
      </c>
    </row>
    <row r="29" spans="17:22" x14ac:dyDescent="0.35">
      <c r="Q29" s="1" t="s">
        <v>6</v>
      </c>
      <c r="R29" s="1">
        <f xml:space="preserve"> 47.63</f>
        <v>47.63</v>
      </c>
      <c r="S29" s="1">
        <f xml:space="preserve"> 47.55</f>
        <v>47.55</v>
      </c>
      <c r="T29" s="1">
        <f xml:space="preserve"> 47.54</f>
        <v>47.54</v>
      </c>
      <c r="U29" s="1">
        <f xml:space="preserve"> AVERAGE(R29:T29)</f>
        <v>47.573333333333331</v>
      </c>
      <c r="V29" s="1">
        <f xml:space="preserve"> _xlfn.STDEV.S(R29:T29)</f>
        <v>4.93288286231649E-2</v>
      </c>
    </row>
    <row r="30" spans="17:22" x14ac:dyDescent="0.35">
      <c r="Q30" s="1" t="s">
        <v>7</v>
      </c>
      <c r="R30" s="1">
        <f xml:space="preserve"> 47.33</f>
        <v>47.33</v>
      </c>
      <c r="S30" s="1">
        <f xml:space="preserve"> 47.64</f>
        <v>47.64</v>
      </c>
      <c r="T30" s="1">
        <f xml:space="preserve"> 47.69</f>
        <v>47.69</v>
      </c>
      <c r="U30" s="1">
        <f xml:space="preserve"> AVERAGE(R30:T30)</f>
        <v>47.553333333333335</v>
      </c>
      <c r="V30" s="1">
        <f xml:space="preserve"> _xlfn.STDEV.S(R30:T30)</f>
        <v>0.19502136635080131</v>
      </c>
    </row>
    <row r="31" spans="17:22" x14ac:dyDescent="0.35">
      <c r="Q31" s="1" t="s">
        <v>8</v>
      </c>
      <c r="R31" s="1">
        <f xml:space="preserve"> 46.44</f>
        <v>46.44</v>
      </c>
      <c r="S31" s="1">
        <f xml:space="preserve"> 46.41</f>
        <v>46.41</v>
      </c>
      <c r="T31" s="1">
        <f xml:space="preserve"> 46.36</f>
        <v>46.36</v>
      </c>
      <c r="U31" s="1">
        <f xml:space="preserve"> AVERAGE(R31:T31)</f>
        <v>46.403333333333329</v>
      </c>
      <c r="V31" s="1">
        <f xml:space="preserve"> _xlfn.STDEV.S(R31:T31)</f>
        <v>4.0414518843272795E-2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A5</vt:lpstr>
      <vt:lpstr>A3</vt:lpstr>
      <vt:lpstr>90C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Liu</dc:creator>
  <cp:lastModifiedBy>Alan Liu</cp:lastModifiedBy>
  <dcterms:created xsi:type="dcterms:W3CDTF">2015-06-05T18:17:20Z</dcterms:created>
  <dcterms:modified xsi:type="dcterms:W3CDTF">2025-05-12T21:54:42Z</dcterms:modified>
</cp:coreProperties>
</file>