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Shared drives\Dauskardt-Lab\Liu_Alan\DuraMAT_Research\Experimental_Data\GelContent_Data\"/>
    </mc:Choice>
  </mc:AlternateContent>
  <xr:revisionPtr revIDLastSave="0" documentId="13_ncr:1_{969AAD8B-9828-4CA7-A41C-38B61655DD19}" xr6:coauthVersionLast="47" xr6:coauthVersionMax="47" xr10:uidLastSave="{00000000-0000-0000-0000-000000000000}"/>
  <bookViews>
    <workbookView xWindow="-40" yWindow="280" windowWidth="16730" windowHeight="8940" xr2:uid="{00000000-000D-0000-FFFF-FFFF00000000}"/>
  </bookViews>
  <sheets>
    <sheet name="A5 Gel Contents" sheetId="1" r:id="rId1"/>
    <sheet name="A3 Gel Cont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E19" i="2"/>
  <c r="D21" i="2"/>
  <c r="D19" i="2"/>
  <c r="E14" i="2"/>
  <c r="E13" i="2"/>
  <c r="D15" i="2"/>
  <c r="E15" i="2" s="1"/>
  <c r="D13" i="2"/>
  <c r="B19" i="2"/>
  <c r="B21" i="2"/>
  <c r="A21" i="2"/>
  <c r="A20" i="2"/>
  <c r="A19" i="2"/>
  <c r="B15" i="2"/>
  <c r="B14" i="2"/>
  <c r="B13" i="2"/>
  <c r="A15" i="2"/>
  <c r="A14" i="2"/>
  <c r="A13" i="2"/>
  <c r="C29" i="1"/>
  <c r="C28" i="1"/>
  <c r="C27" i="1"/>
  <c r="C26" i="1"/>
  <c r="C25" i="1"/>
  <c r="C24" i="1"/>
  <c r="C19" i="1"/>
  <c r="C18" i="1"/>
  <c r="C17" i="1"/>
  <c r="C16" i="1"/>
  <c r="C15" i="1"/>
  <c r="C14" i="1"/>
  <c r="C9" i="1"/>
  <c r="C8" i="1"/>
  <c r="C7" i="1"/>
  <c r="C6" i="1"/>
  <c r="C5" i="1"/>
  <c r="C4" i="1"/>
  <c r="D17" i="1"/>
  <c r="B29" i="1"/>
  <c r="B28" i="1"/>
  <c r="B27" i="1"/>
  <c r="B26" i="1"/>
  <c r="B25" i="1"/>
  <c r="B24" i="1"/>
  <c r="B23" i="1"/>
  <c r="B19" i="1"/>
  <c r="B18" i="1"/>
  <c r="B17" i="1"/>
  <c r="B16" i="1"/>
  <c r="B15" i="1"/>
  <c r="B14" i="1"/>
  <c r="B13" i="1"/>
  <c r="D13" i="1" s="1"/>
  <c r="B9" i="1"/>
  <c r="B8" i="1"/>
  <c r="B7" i="1"/>
  <c r="D7" i="1" s="1"/>
  <c r="E7" i="1" s="1"/>
  <c r="B6" i="1"/>
  <c r="B5" i="1"/>
  <c r="B4" i="1"/>
  <c r="D4" i="1" s="1"/>
  <c r="E4" i="1" s="1"/>
  <c r="B3" i="1"/>
  <c r="D3" i="1" s="1"/>
  <c r="A29" i="1"/>
  <c r="A28" i="1"/>
  <c r="A27" i="1"/>
  <c r="A26" i="1"/>
  <c r="A25" i="1"/>
  <c r="A24" i="1"/>
  <c r="A23" i="1"/>
  <c r="A19" i="1"/>
  <c r="A18" i="1"/>
  <c r="A17" i="1"/>
  <c r="A16" i="1"/>
  <c r="A15" i="1"/>
  <c r="A14" i="1"/>
  <c r="A13" i="1"/>
  <c r="A7" i="1"/>
  <c r="A6" i="1"/>
  <c r="A5" i="1"/>
  <c r="A4" i="1"/>
  <c r="D5" i="1" l="1"/>
  <c r="D24" i="1"/>
  <c r="E24" i="1" s="1"/>
  <c r="D25" i="1"/>
  <c r="E25" i="1" s="1"/>
  <c r="D26" i="1"/>
  <c r="E26" i="1" s="1"/>
  <c r="D28" i="1"/>
  <c r="E28" i="1" s="1"/>
  <c r="D29" i="1"/>
  <c r="E29" i="1" s="1"/>
  <c r="D8" i="1"/>
  <c r="E8" i="1" s="1"/>
  <c r="D19" i="1"/>
  <c r="E19" i="1" s="1"/>
  <c r="D9" i="1"/>
  <c r="E9" i="1" s="1"/>
  <c r="D27" i="1"/>
  <c r="E27" i="1" s="1"/>
  <c r="D18" i="1"/>
  <c r="E18" i="1" s="1"/>
  <c r="D15" i="1"/>
  <c r="E17" i="1"/>
  <c r="E15" i="1"/>
  <c r="E5" i="1"/>
  <c r="D16" i="1"/>
  <c r="E16" i="1" s="1"/>
  <c r="D6" i="1"/>
  <c r="E6" i="1" s="1"/>
  <c r="D14" i="1"/>
  <c r="E14" i="1" s="1"/>
  <c r="D23" i="1"/>
  <c r="E23" i="1" s="1"/>
  <c r="A9" i="1"/>
  <c r="A3" i="1"/>
  <c r="A8" i="1"/>
</calcChain>
</file>

<file path=xl/sharedStrings.xml><?xml version="1.0" encoding="utf-8"?>
<sst xmlns="http://schemas.openxmlformats.org/spreadsheetml/2006/main" count="25" uniqueCount="16">
  <si>
    <t>Time (hrs)</t>
  </si>
  <si>
    <t>Gel Content (%)</t>
  </si>
  <si>
    <t>N(t) = N(0)*exp(-kt)</t>
  </si>
  <si>
    <t>Gel Content / Max Gel Content</t>
  </si>
  <si>
    <t>Offset_Time (hrs)</t>
  </si>
  <si>
    <t>neg ln(Gel Content / Max Gel Content)</t>
  </si>
  <si>
    <t>k_scission = 3.41 x 10^-5</t>
  </si>
  <si>
    <t>k_scission = 3.75 x 10^-5</t>
  </si>
  <si>
    <t>k_scission = 6.20 x 10^-5</t>
  </si>
  <si>
    <t>EVA</t>
  </si>
  <si>
    <t>POE</t>
  </si>
  <si>
    <t>EPE</t>
  </si>
  <si>
    <t>Offset time (hrs)</t>
  </si>
  <si>
    <t>Don’t include for now</t>
  </si>
  <si>
    <t>k_scission = 2.28 x 10^-5   1/s</t>
  </si>
  <si>
    <t>k_scission = 1.02 x 10^-5      1/s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</si>
</sst>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onsolas"/>
      <family val="3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left" vertical="center" indent="2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EVA</a:t>
            </a:r>
            <a:r>
              <a:rPr lang="en-US" b="1" baseline="0"/>
              <a:t> main-chain scission rate fitting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47067191601049868"/>
                  <c:y val="-4.9712015164771074E-3"/>
                </c:manualLayout>
              </c:layout>
              <c:numFmt formatCode="0.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'A5 Gel Contents'!$C$4:$C$9</c:f>
              <c:numCache>
                <c:formatCode>General</c:formatCode>
                <c:ptCount val="6"/>
                <c:pt idx="0">
                  <c:v>0</c:v>
                </c:pt>
                <c:pt idx="1">
                  <c:v>500</c:v>
                </c:pt>
                <c:pt idx="2">
                  <c:v>1500</c:v>
                </c:pt>
                <c:pt idx="3">
                  <c:v>2500</c:v>
                </c:pt>
                <c:pt idx="4">
                  <c:v>3500</c:v>
                </c:pt>
                <c:pt idx="5">
                  <c:v>4500</c:v>
                </c:pt>
              </c:numCache>
            </c:numRef>
          </c:xVal>
          <c:yVal>
            <c:numRef>
              <c:f>'A5 Gel Contents'!$E$4:$E$9</c:f>
              <c:numCache>
                <c:formatCode>General</c:formatCode>
                <c:ptCount val="6"/>
                <c:pt idx="0">
                  <c:v>0</c:v>
                </c:pt>
                <c:pt idx="1">
                  <c:v>2.5076281827062456E-2</c:v>
                </c:pt>
                <c:pt idx="2">
                  <c:v>7.9455264374292109E-2</c:v>
                </c:pt>
                <c:pt idx="3">
                  <c:v>0.13676817691118967</c:v>
                </c:pt>
                <c:pt idx="4">
                  <c:v>0.10162556138120535</c:v>
                </c:pt>
                <c:pt idx="5">
                  <c:v>0.1282668054288989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0D-4C81-A305-C23D10927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8491344"/>
        <c:axId val="1198491824"/>
      </c:scatterChart>
      <c:valAx>
        <c:axId val="1198491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491824"/>
        <c:crosses val="autoZero"/>
        <c:crossBetween val="midCat"/>
      </c:valAx>
      <c:valAx>
        <c:axId val="119849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491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POE main-chain scission rate fitting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42474623349246698"/>
                  <c:y val="-3.6831894922779329E-2"/>
                </c:manualLayout>
              </c:layout>
              <c:numFmt formatCode="0.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'A5 Gel Contents'!$C$14:$C$19</c:f>
              <c:numCache>
                <c:formatCode>General</c:formatCode>
                <c:ptCount val="6"/>
                <c:pt idx="0">
                  <c:v>0</c:v>
                </c:pt>
                <c:pt idx="1">
                  <c:v>500</c:v>
                </c:pt>
                <c:pt idx="2">
                  <c:v>1500</c:v>
                </c:pt>
                <c:pt idx="3">
                  <c:v>2500</c:v>
                </c:pt>
                <c:pt idx="4">
                  <c:v>3500</c:v>
                </c:pt>
                <c:pt idx="5">
                  <c:v>4500</c:v>
                </c:pt>
              </c:numCache>
            </c:numRef>
          </c:xVal>
          <c:yVal>
            <c:numRef>
              <c:f>'A5 Gel Contents'!$E$14:$E$19</c:f>
              <c:numCache>
                <c:formatCode>General</c:formatCode>
                <c:ptCount val="6"/>
                <c:pt idx="0">
                  <c:v>0</c:v>
                </c:pt>
                <c:pt idx="1">
                  <c:v>4.8589999417776246E-2</c:v>
                </c:pt>
                <c:pt idx="2">
                  <c:v>6.8706934105289399E-2</c:v>
                </c:pt>
                <c:pt idx="3">
                  <c:v>0.11716727209012899</c:v>
                </c:pt>
                <c:pt idx="4">
                  <c:v>0.11405577433349551</c:v>
                </c:pt>
                <c:pt idx="5">
                  <c:v>0.1620661252735254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8E-4365-9972-0DD4420DD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8463984"/>
        <c:axId val="1198466384"/>
      </c:scatterChart>
      <c:valAx>
        <c:axId val="1198463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466384"/>
        <c:crosses val="autoZero"/>
        <c:crossBetween val="midCat"/>
      </c:valAx>
      <c:valAx>
        <c:axId val="119846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463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EPE main-chain scission rate fitting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51233858267716537"/>
                  <c:y val="8.8425925925925929E-3"/>
                </c:manualLayout>
              </c:layout>
              <c:numFmt formatCode="0.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'A5 Gel Contents'!$C$24:$C$29</c:f>
              <c:numCache>
                <c:formatCode>General</c:formatCode>
                <c:ptCount val="6"/>
                <c:pt idx="0">
                  <c:v>0</c:v>
                </c:pt>
                <c:pt idx="1">
                  <c:v>500</c:v>
                </c:pt>
                <c:pt idx="2">
                  <c:v>1500</c:v>
                </c:pt>
                <c:pt idx="3">
                  <c:v>2500</c:v>
                </c:pt>
                <c:pt idx="4">
                  <c:v>3500</c:v>
                </c:pt>
                <c:pt idx="5">
                  <c:v>4500</c:v>
                </c:pt>
              </c:numCache>
            </c:numRef>
          </c:xVal>
          <c:yVal>
            <c:numRef>
              <c:f>'A5 Gel Contents'!$E$24:$E$29</c:f>
              <c:numCache>
                <c:formatCode>General</c:formatCode>
                <c:ptCount val="6"/>
                <c:pt idx="0">
                  <c:v>8.0575543927758838E-4</c:v>
                </c:pt>
                <c:pt idx="1">
                  <c:v>2.2927975564243624E-2</c:v>
                </c:pt>
                <c:pt idx="2">
                  <c:v>6.1207290672005865E-2</c:v>
                </c:pt>
                <c:pt idx="3">
                  <c:v>0.20282722716286791</c:v>
                </c:pt>
                <c:pt idx="4">
                  <c:v>0.21160355923970953</c:v>
                </c:pt>
                <c:pt idx="5">
                  <c:v>0.26849856266589772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E4-4D5B-A1EB-2B79E72D9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8451984"/>
        <c:axId val="1198439984"/>
      </c:scatterChart>
      <c:valAx>
        <c:axId val="1198451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439984"/>
        <c:crosses val="autoZero"/>
        <c:crossBetween val="midCat"/>
      </c:valAx>
      <c:valAx>
        <c:axId val="119843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451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29447637795275589"/>
                  <c:y val="4.2129629629629626E-3"/>
                </c:manualLayout>
              </c:layout>
              <c:numFmt formatCode="0.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('A3 Gel Contents'!$A$13,'A3 Gel Contents'!$A$15)</c:f>
              <c:numCache>
                <c:formatCode>General</c:formatCode>
                <c:ptCount val="2"/>
                <c:pt idx="0">
                  <c:v>0</c:v>
                </c:pt>
                <c:pt idx="1">
                  <c:v>5000</c:v>
                </c:pt>
              </c:numCache>
            </c:numRef>
          </c:xVal>
          <c:yVal>
            <c:numRef>
              <c:f>('A3 Gel Contents'!$E$13,'A3 Gel Contents'!$E$15)</c:f>
              <c:numCache>
                <c:formatCode>General</c:formatCode>
                <c:ptCount val="2"/>
                <c:pt idx="0">
                  <c:v>0</c:v>
                </c:pt>
                <c:pt idx="1">
                  <c:v>0.11413002023178843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83-45A5-A170-27A2D6B5F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8495184"/>
        <c:axId val="1312229328"/>
      </c:scatterChart>
      <c:valAx>
        <c:axId val="1198495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229328"/>
        <c:crosses val="autoZero"/>
        <c:crossBetween val="midCat"/>
      </c:valAx>
      <c:valAx>
        <c:axId val="131222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495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20233770778652668"/>
                  <c:y val="6.0750218722659668E-3"/>
                </c:manualLayout>
              </c:layout>
              <c:numFmt formatCode="0.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('A3 Gel Contents'!$A$19,'A3 Gel Contents'!$A$21)</c:f>
              <c:numCache>
                <c:formatCode>General</c:formatCode>
                <c:ptCount val="2"/>
                <c:pt idx="0">
                  <c:v>0</c:v>
                </c:pt>
                <c:pt idx="1">
                  <c:v>5000</c:v>
                </c:pt>
              </c:numCache>
            </c:numRef>
          </c:xVal>
          <c:yVal>
            <c:numRef>
              <c:f>('A3 Gel Contents'!$E$19,'A3 Gel Contents'!$E$21)</c:f>
              <c:numCache>
                <c:formatCode>General</c:formatCode>
                <c:ptCount val="2"/>
                <c:pt idx="0">
                  <c:v>0</c:v>
                </c:pt>
                <c:pt idx="1">
                  <c:v>5.1105579991424503E-2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D2-493D-92FC-7C684E0A8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2274448"/>
        <c:axId val="1312273968"/>
      </c:scatterChart>
      <c:valAx>
        <c:axId val="131227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273968"/>
        <c:crosses val="autoZero"/>
        <c:crossBetween val="midCat"/>
      </c:valAx>
      <c:valAx>
        <c:axId val="131227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274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342191</xdr:colOff>
      <xdr:row>2</xdr:row>
      <xdr:rowOff>21874</xdr:rowOff>
    </xdr:from>
    <xdr:to>
      <xdr:col>13</xdr:col>
      <xdr:colOff>582082</xdr:colOff>
      <xdr:row>18</xdr:row>
      <xdr:rowOff>158750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EEA185B-3286-33C4-10D2-6B661A1F6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280457</xdr:colOff>
      <xdr:row>2</xdr:row>
      <xdr:rowOff>92427</xdr:rowOff>
    </xdr:from>
    <xdr:to>
      <xdr:col>21</xdr:col>
      <xdr:colOff>202846</xdr:colOff>
      <xdr:row>18</xdr:row>
      <xdr:rowOff>-1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6F9F30C-35F2-28B7-319C-0E6012B91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139346</xdr:colOff>
      <xdr:row>20</xdr:row>
      <xdr:rowOff>83609</xdr:rowOff>
    </xdr:from>
    <xdr:to>
      <xdr:col>14</xdr:col>
      <xdr:colOff>8819</xdr:colOff>
      <xdr:row>35</xdr:row>
      <xdr:rowOff>48684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FB6F3CE-DE47-4A55-9D58-D56A04D9A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14942</xdr:colOff>
      <xdr:row>0</xdr:row>
      <xdr:rowOff>122518</xdr:rowOff>
    </xdr:from>
    <xdr:to>
      <xdr:col>14</xdr:col>
      <xdr:colOff>298824</xdr:colOff>
      <xdr:row>15</xdr:row>
      <xdr:rowOff>64247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935E1FF-375D-3585-EF7D-3EA42397E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560295</xdr:colOff>
      <xdr:row>16</xdr:row>
      <xdr:rowOff>100107</xdr:rowOff>
    </xdr:from>
    <xdr:to>
      <xdr:col>14</xdr:col>
      <xdr:colOff>231589</xdr:colOff>
      <xdr:row>31</xdr:row>
      <xdr:rowOff>41836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D062A7E-07AD-3D0F-FBA3-91BC48CF3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zoomScale="72" workbookViewId="0">
      <selection activeCell="G4" sqref="G4"/>
    </sheetView>
  </sheetViews>
  <sheetFormatPr defaultRowHeight="14.5" x14ac:dyDescent="0.35"/>
  <cols>
    <col min="1" max="1" width="9.26953125" bestFit="1" customWidth="1"/>
    <col min="2" max="2" width="13.90625" bestFit="1" customWidth="1"/>
    <col min="3" max="3" width="15.453125" bestFit="1" customWidth="1"/>
    <col min="4" max="4" width="26.6328125" bestFit="1" customWidth="1"/>
    <col min="5" max="5" width="29.54296875" bestFit="1" customWidth="1"/>
  </cols>
  <sheetData>
    <row r="1" spans="1:7" x14ac:dyDescent="0.35">
      <c r="A1" s="2" t="s">
        <v>9</v>
      </c>
    </row>
    <row r="2" spans="1:7" x14ac:dyDescent="0.35">
      <c r="A2" t="s">
        <v>0</v>
      </c>
      <c r="B2" t="s">
        <v>1</v>
      </c>
      <c r="C2" t="s">
        <v>4</v>
      </c>
      <c r="D2" t="s">
        <v>3</v>
      </c>
      <c r="E2" t="s">
        <v>5</v>
      </c>
      <c r="G2" t="s">
        <v>2</v>
      </c>
    </row>
    <row r="3" spans="1:7" x14ac:dyDescent="0.35">
      <c r="A3">
        <f xml:space="preserve"> 0</f>
        <v>0</v>
      </c>
      <c r="B3">
        <f xml:space="preserve"> 82.5</f>
        <v>82.5</v>
      </c>
      <c r="D3">
        <f t="shared" ref="D3:D9" si="0" xml:space="preserve"> B3/$B$4</f>
        <v>0.93078355051616168</v>
      </c>
    </row>
    <row r="4" spans="1:7" x14ac:dyDescent="0.35">
      <c r="A4">
        <f xml:space="preserve"> 500</f>
        <v>500</v>
      </c>
      <c r="B4">
        <f>88.635</f>
        <v>88.635000000000005</v>
      </c>
      <c r="C4">
        <f xml:space="preserve"> 0</f>
        <v>0</v>
      </c>
      <c r="D4">
        <f t="shared" si="0"/>
        <v>1</v>
      </c>
      <c r="E4">
        <f xml:space="preserve"> - LN(D4/$D$4)</f>
        <v>0</v>
      </c>
    </row>
    <row r="5" spans="1:7" x14ac:dyDescent="0.35">
      <c r="A5">
        <f xml:space="preserve"> 1000</f>
        <v>1000</v>
      </c>
      <c r="B5">
        <f xml:space="preserve"> 86.44</f>
        <v>86.44</v>
      </c>
      <c r="C5">
        <f xml:space="preserve"> 500</f>
        <v>500</v>
      </c>
      <c r="D5">
        <f t="shared" si="0"/>
        <v>0.97523551644384265</v>
      </c>
      <c r="E5">
        <f t="shared" ref="E5:E9" si="1" xml:space="preserve"> - LN(D5/$D$4)</f>
        <v>2.5076281827062456E-2</v>
      </c>
    </row>
    <row r="6" spans="1:7" x14ac:dyDescent="0.35">
      <c r="A6">
        <f xml:space="preserve"> 2000</f>
        <v>2000</v>
      </c>
      <c r="B6">
        <f xml:space="preserve"> 81.865</f>
        <v>81.864999999999995</v>
      </c>
      <c r="C6">
        <f xml:space="preserve"> 1500</f>
        <v>1500</v>
      </c>
      <c r="D6">
        <f t="shared" si="0"/>
        <v>0.92361933773340088</v>
      </c>
      <c r="E6">
        <f t="shared" si="1"/>
        <v>7.9455264374292109E-2</v>
      </c>
    </row>
    <row r="7" spans="1:7" x14ac:dyDescent="0.35">
      <c r="A7">
        <f xml:space="preserve"> 3000</f>
        <v>3000</v>
      </c>
      <c r="B7">
        <f xml:space="preserve"> 77.305</f>
        <v>77.305000000000007</v>
      </c>
      <c r="C7">
        <f xml:space="preserve"> 2500</f>
        <v>2500</v>
      </c>
      <c r="D7">
        <f t="shared" si="0"/>
        <v>0.87217239239578048</v>
      </c>
      <c r="E7">
        <f t="shared" si="1"/>
        <v>0.13676817691118967</v>
      </c>
    </row>
    <row r="8" spans="1:7" x14ac:dyDescent="0.35">
      <c r="A8">
        <f xml:space="preserve"> 4000</f>
        <v>4000</v>
      </c>
      <c r="B8">
        <f xml:space="preserve"> 80.07</f>
        <v>80.069999999999993</v>
      </c>
      <c r="C8">
        <f xml:space="preserve"> 3500</f>
        <v>3500</v>
      </c>
      <c r="D8">
        <f t="shared" si="0"/>
        <v>0.90336774411914011</v>
      </c>
      <c r="E8">
        <f t="shared" si="1"/>
        <v>0.10162556138120535</v>
      </c>
    </row>
    <row r="9" spans="1:7" x14ac:dyDescent="0.35">
      <c r="A9">
        <f xml:space="preserve"> 5000</f>
        <v>5000</v>
      </c>
      <c r="B9">
        <f xml:space="preserve"> 77.965</f>
        <v>77.965000000000003</v>
      </c>
      <c r="C9">
        <f xml:space="preserve"> 4500</f>
        <v>4500</v>
      </c>
      <c r="D9">
        <f t="shared" si="0"/>
        <v>0.87961866079990969</v>
      </c>
      <c r="E9">
        <f t="shared" si="1"/>
        <v>0.1282668054288989</v>
      </c>
    </row>
    <row r="10" spans="1:7" x14ac:dyDescent="0.35">
      <c r="B10" s="1"/>
      <c r="E10" t="s">
        <v>6</v>
      </c>
    </row>
    <row r="11" spans="1:7" x14ac:dyDescent="0.35">
      <c r="A11" s="2" t="s">
        <v>10</v>
      </c>
      <c r="B11" s="1"/>
    </row>
    <row r="12" spans="1:7" x14ac:dyDescent="0.35">
      <c r="A12" t="s">
        <v>0</v>
      </c>
    </row>
    <row r="13" spans="1:7" x14ac:dyDescent="0.35">
      <c r="A13">
        <f xml:space="preserve"> 0</f>
        <v>0</v>
      </c>
      <c r="B13">
        <f xml:space="preserve"> 78.9</f>
        <v>78.900000000000006</v>
      </c>
      <c r="D13">
        <f t="shared" ref="D13:D19" si="2" xml:space="preserve"> B13/$B$14</f>
        <v>0.97197412996612265</v>
      </c>
    </row>
    <row r="14" spans="1:7" x14ac:dyDescent="0.35">
      <c r="A14">
        <f xml:space="preserve"> 500</f>
        <v>500</v>
      </c>
      <c r="B14">
        <f xml:space="preserve"> 81.175</f>
        <v>81.174999999999997</v>
      </c>
      <c r="C14">
        <f xml:space="preserve"> 0</f>
        <v>0</v>
      </c>
      <c r="D14">
        <f t="shared" si="2"/>
        <v>1</v>
      </c>
      <c r="E14">
        <f xml:space="preserve"> - LN(D14/$D$4)</f>
        <v>0</v>
      </c>
    </row>
    <row r="15" spans="1:7" x14ac:dyDescent="0.35">
      <c r="A15">
        <f xml:space="preserve"> 1000</f>
        <v>1000</v>
      </c>
      <c r="B15">
        <f xml:space="preserve"> 77.325</f>
        <v>77.325000000000003</v>
      </c>
      <c r="C15">
        <f xml:space="preserve"> 500</f>
        <v>500</v>
      </c>
      <c r="D15">
        <f t="shared" si="2"/>
        <v>0.95257160455805368</v>
      </c>
      <c r="E15">
        <f t="shared" ref="E15:E19" si="3" xml:space="preserve"> - LN(D15/$D$4)</f>
        <v>4.8589999417776246E-2</v>
      </c>
    </row>
    <row r="16" spans="1:7" x14ac:dyDescent="0.35">
      <c r="A16">
        <f xml:space="preserve"> 2000</f>
        <v>2000</v>
      </c>
      <c r="B16">
        <f xml:space="preserve"> 75.785</f>
        <v>75.784999999999997</v>
      </c>
      <c r="C16">
        <f xml:space="preserve"> 1500</f>
        <v>1500</v>
      </c>
      <c r="D16">
        <f t="shared" si="2"/>
        <v>0.93360024638127503</v>
      </c>
      <c r="E16">
        <f t="shared" si="3"/>
        <v>6.8706934105289399E-2</v>
      </c>
    </row>
    <row r="17" spans="1:5" x14ac:dyDescent="0.35">
      <c r="A17">
        <f xml:space="preserve"> 3000</f>
        <v>3000</v>
      </c>
      <c r="B17">
        <f xml:space="preserve"> 72.2</f>
        <v>72.2</v>
      </c>
      <c r="C17">
        <f xml:space="preserve"> 2500</f>
        <v>2500</v>
      </c>
      <c r="D17">
        <f t="shared" si="2"/>
        <v>0.88943640283338476</v>
      </c>
      <c r="E17">
        <f t="shared" si="3"/>
        <v>0.11716727209012899</v>
      </c>
    </row>
    <row r="18" spans="1:5" x14ac:dyDescent="0.35">
      <c r="A18">
        <f xml:space="preserve"> 4000</f>
        <v>4000</v>
      </c>
      <c r="B18">
        <f xml:space="preserve"> 72.425</f>
        <v>72.424999999999997</v>
      </c>
      <c r="C18">
        <f xml:space="preserve"> 3500</f>
        <v>3500</v>
      </c>
      <c r="D18">
        <f t="shared" si="2"/>
        <v>0.89220819217739455</v>
      </c>
      <c r="E18">
        <f t="shared" si="3"/>
        <v>0.11405577433349551</v>
      </c>
    </row>
    <row r="19" spans="1:5" x14ac:dyDescent="0.35">
      <c r="A19">
        <f xml:space="preserve"> 5000</f>
        <v>5000</v>
      </c>
      <c r="B19">
        <f xml:space="preserve"> 69.03</f>
        <v>69.03</v>
      </c>
      <c r="C19">
        <f xml:space="preserve"> 4500</f>
        <v>4500</v>
      </c>
      <c r="D19">
        <f t="shared" si="2"/>
        <v>0.85038497074222363</v>
      </c>
      <c r="E19">
        <f t="shared" si="3"/>
        <v>0.1620661252735254</v>
      </c>
    </row>
    <row r="20" spans="1:5" x14ac:dyDescent="0.35">
      <c r="E20" t="s">
        <v>7</v>
      </c>
    </row>
    <row r="21" spans="1:5" x14ac:dyDescent="0.35">
      <c r="A21" s="2" t="s">
        <v>11</v>
      </c>
      <c r="E21" s="2"/>
    </row>
    <row r="22" spans="1:5" x14ac:dyDescent="0.35">
      <c r="A22" t="s">
        <v>0</v>
      </c>
    </row>
    <row r="23" spans="1:5" x14ac:dyDescent="0.35">
      <c r="A23">
        <f xml:space="preserve"> 0</f>
        <v>0</v>
      </c>
      <c r="B23">
        <f xml:space="preserve"> 86.91</f>
        <v>86.91</v>
      </c>
      <c r="D23">
        <f t="shared" ref="D23:D29" si="4" xml:space="preserve"> B23/$B$23</f>
        <v>1</v>
      </c>
      <c r="E23">
        <f xml:space="preserve"> - LN(D23/$D$4)</f>
        <v>0</v>
      </c>
    </row>
    <row r="24" spans="1:5" x14ac:dyDescent="0.35">
      <c r="A24">
        <f xml:space="preserve"> 500</f>
        <v>500</v>
      </c>
      <c r="B24">
        <f xml:space="preserve"> 86.84</f>
        <v>86.84</v>
      </c>
      <c r="C24">
        <f xml:space="preserve"> 0</f>
        <v>0</v>
      </c>
      <c r="D24">
        <f t="shared" si="4"/>
        <v>0.99919456909446558</v>
      </c>
      <c r="E24">
        <f t="shared" ref="E24:E29" si="5" xml:space="preserve"> - LN(D24/$D$4)</f>
        <v>8.0575543927758838E-4</v>
      </c>
    </row>
    <row r="25" spans="1:5" x14ac:dyDescent="0.35">
      <c r="A25">
        <f xml:space="preserve"> 1000</f>
        <v>1000</v>
      </c>
      <c r="B25">
        <f xml:space="preserve"> 84.94</f>
        <v>84.94</v>
      </c>
      <c r="C25">
        <f xml:space="preserve"> 500</f>
        <v>500</v>
      </c>
      <c r="D25">
        <f t="shared" si="4"/>
        <v>0.97733287308710159</v>
      </c>
      <c r="E25">
        <f t="shared" si="5"/>
        <v>2.2927975564243624E-2</v>
      </c>
    </row>
    <row r="26" spans="1:5" x14ac:dyDescent="0.35">
      <c r="A26">
        <f xml:space="preserve"> 2000</f>
        <v>2000</v>
      </c>
      <c r="B26">
        <f xml:space="preserve"> 81.75</f>
        <v>81.75</v>
      </c>
      <c r="C26">
        <f xml:space="preserve"> 1500</f>
        <v>1500</v>
      </c>
      <c r="D26">
        <f t="shared" si="4"/>
        <v>0.94062823610631696</v>
      </c>
      <c r="E26">
        <f t="shared" si="5"/>
        <v>6.1207290672005865E-2</v>
      </c>
    </row>
    <row r="27" spans="1:5" x14ac:dyDescent="0.35">
      <c r="A27">
        <f xml:space="preserve"> 3000</f>
        <v>3000</v>
      </c>
      <c r="B27">
        <f xml:space="preserve"> 70.955</f>
        <v>70.954999999999998</v>
      </c>
      <c r="C27">
        <f xml:space="preserve"> 2500</f>
        <v>2500</v>
      </c>
      <c r="D27">
        <f t="shared" si="4"/>
        <v>0.81641928431710964</v>
      </c>
      <c r="E27">
        <f t="shared" si="5"/>
        <v>0.20282722716286791</v>
      </c>
    </row>
    <row r="28" spans="1:5" x14ac:dyDescent="0.35">
      <c r="A28">
        <f xml:space="preserve"> 4000</f>
        <v>4000</v>
      </c>
      <c r="B28">
        <f xml:space="preserve"> 70.335</f>
        <v>70.334999999999994</v>
      </c>
      <c r="C28">
        <f xml:space="preserve"> 3500</f>
        <v>3500</v>
      </c>
      <c r="D28">
        <f t="shared" si="4"/>
        <v>0.80928546772523291</v>
      </c>
      <c r="E28">
        <f t="shared" si="5"/>
        <v>0.21160355923970953</v>
      </c>
    </row>
    <row r="29" spans="1:5" x14ac:dyDescent="0.35">
      <c r="A29">
        <f xml:space="preserve"> 5000</f>
        <v>5000</v>
      </c>
      <c r="B29">
        <f xml:space="preserve"> 66.445</f>
        <v>66.444999999999993</v>
      </c>
      <c r="C29">
        <f xml:space="preserve"> 4500</f>
        <v>4500</v>
      </c>
      <c r="D29">
        <f t="shared" si="4"/>
        <v>0.76452652168910362</v>
      </c>
      <c r="E29">
        <f t="shared" si="5"/>
        <v>0.26849856266589772</v>
      </c>
    </row>
    <row r="30" spans="1:5" x14ac:dyDescent="0.35">
      <c r="E30" t="s">
        <v>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3D943-DB9E-4CF0-B4E0-56E21DEE2C21}">
  <dimension ref="A1:E22"/>
  <sheetViews>
    <sheetView zoomScale="85" zoomScaleNormal="85" workbookViewId="0">
      <selection activeCell="F23" sqref="F23"/>
    </sheetView>
  </sheetViews>
  <sheetFormatPr defaultRowHeight="14.5" x14ac:dyDescent="0.35"/>
  <cols>
    <col min="2" max="2" width="13.90625" bestFit="1" customWidth="1"/>
    <col min="3" max="3" width="14.6328125" bestFit="1" customWidth="1"/>
    <col min="4" max="5" width="33" bestFit="1" customWidth="1"/>
  </cols>
  <sheetData>
    <row r="1" spans="1:5" x14ac:dyDescent="0.35">
      <c r="A1" s="2" t="s">
        <v>9</v>
      </c>
    </row>
    <row r="11" spans="1:5" x14ac:dyDescent="0.35">
      <c r="A11" s="2" t="s">
        <v>10</v>
      </c>
    </row>
    <row r="12" spans="1:5" x14ac:dyDescent="0.35">
      <c r="A12" t="s">
        <v>0</v>
      </c>
      <c r="B12" t="s">
        <v>1</v>
      </c>
      <c r="C12" t="s">
        <v>12</v>
      </c>
      <c r="D12" t="s">
        <v>3</v>
      </c>
      <c r="E12" t="s">
        <v>5</v>
      </c>
    </row>
    <row r="13" spans="1:5" x14ac:dyDescent="0.35">
      <c r="A13">
        <f xml:space="preserve"> 0</f>
        <v>0</v>
      </c>
      <c r="B13">
        <f xml:space="preserve"> 78.9</f>
        <v>78.900000000000006</v>
      </c>
      <c r="D13">
        <f xml:space="preserve"> B13/$B$13</f>
        <v>1</v>
      </c>
      <c r="E13">
        <f xml:space="preserve"> -LN(D13)</f>
        <v>0</v>
      </c>
    </row>
    <row r="14" spans="1:5" x14ac:dyDescent="0.35">
      <c r="A14">
        <f xml:space="preserve"> 2000</f>
        <v>2000</v>
      </c>
      <c r="B14">
        <f xml:space="preserve"> 79.09</f>
        <v>79.09</v>
      </c>
      <c r="D14" t="s">
        <v>13</v>
      </c>
      <c r="E14" t="e">
        <f xml:space="preserve"> -LN(D14)</f>
        <v>#VALUE!</v>
      </c>
    </row>
    <row r="15" spans="1:5" x14ac:dyDescent="0.35">
      <c r="A15">
        <f xml:space="preserve"> 5000</f>
        <v>5000</v>
      </c>
      <c r="B15">
        <f xml:space="preserve"> 70.39</f>
        <v>70.39</v>
      </c>
      <c r="D15">
        <f xml:space="preserve"> B15/$B$13</f>
        <v>0.89214195183776923</v>
      </c>
      <c r="E15">
        <f xml:space="preserve"> -LN(D15)</f>
        <v>0.11413002023178843</v>
      </c>
    </row>
    <row r="16" spans="1:5" x14ac:dyDescent="0.35">
      <c r="E16" t="s">
        <v>14</v>
      </c>
    </row>
    <row r="18" spans="1:5" x14ac:dyDescent="0.35">
      <c r="A18" s="2" t="s">
        <v>11</v>
      </c>
    </row>
    <row r="19" spans="1:5" x14ac:dyDescent="0.35">
      <c r="A19">
        <f xml:space="preserve"> 0</f>
        <v>0</v>
      </c>
      <c r="B19">
        <f xml:space="preserve"> 86.91</f>
        <v>86.91</v>
      </c>
      <c r="D19">
        <f xml:space="preserve"> B19/$B$19</f>
        <v>1</v>
      </c>
      <c r="E19">
        <f xml:space="preserve"> -LN(D19)</f>
        <v>0</v>
      </c>
    </row>
    <row r="20" spans="1:5" x14ac:dyDescent="0.35">
      <c r="A20">
        <f xml:space="preserve"> 2000</f>
        <v>2000</v>
      </c>
    </row>
    <row r="21" spans="1:5" x14ac:dyDescent="0.35">
      <c r="A21">
        <f xml:space="preserve"> 5000</f>
        <v>5000</v>
      </c>
      <c r="B21">
        <f xml:space="preserve"> 82.58</f>
        <v>82.58</v>
      </c>
      <c r="D21">
        <f t="shared" ref="D21" si="0" xml:space="preserve"> B21/$B$19</f>
        <v>0.95017834541479695</v>
      </c>
      <c r="E21">
        <f xml:space="preserve"> -LN(D21)</f>
        <v>5.1105579991424503E-2</v>
      </c>
    </row>
    <row r="22" spans="1:5" x14ac:dyDescent="0.35">
      <c r="E22" t="s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A5 Gel Contents</vt:lpstr>
      <vt:lpstr>A3 Gel Contents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Liu</dc:creator>
  <cp:lastModifiedBy>Alan Liu</cp:lastModifiedBy>
  <dcterms:created xsi:type="dcterms:W3CDTF">2015-06-05T18:17:20Z</dcterms:created>
  <dcterms:modified xsi:type="dcterms:W3CDTF">2025-09-17T00:57:22Z</dcterms:modified>
</cp:coreProperties>
</file>