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G:\Shared drives\Dauskardt-Lab\Liu_Alan\DuraMAT_Research\Experimental_Data\"/>
    </mc:Choice>
  </mc:AlternateContent>
  <xr:revisionPtr revIDLastSave="0" documentId="13_ncr:1_{B43B666F-0C50-4D12-AE6E-81C97AD3B20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ataAnalysis" sheetId="2" r:id="rId1"/>
    <sheet name="Results_FirstHeatingCurve" sheetId="1" r:id="rId2"/>
    <sheet name="Results_SecondHeatingCurv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8" i="2" l="1"/>
  <c r="D78" i="2"/>
  <c r="N78" i="2"/>
  <c r="C78" i="2"/>
  <c r="M78" i="2"/>
  <c r="B78" i="2"/>
  <c r="O76" i="2"/>
  <c r="P76" i="2" s="1"/>
  <c r="D76" i="2"/>
  <c r="N76" i="2"/>
  <c r="C76" i="2"/>
  <c r="M76" i="2"/>
  <c r="B76" i="2"/>
  <c r="O80" i="2"/>
  <c r="D80" i="2"/>
  <c r="N80" i="2"/>
  <c r="C80" i="2"/>
  <c r="F80" i="2" s="1"/>
  <c r="H80" i="2" s="1"/>
  <c r="M80" i="2"/>
  <c r="B80" i="2"/>
  <c r="O77" i="2"/>
  <c r="D77" i="2"/>
  <c r="N77" i="2"/>
  <c r="C77" i="2"/>
  <c r="M77" i="2"/>
  <c r="B77" i="2"/>
  <c r="O75" i="2"/>
  <c r="D75" i="2"/>
  <c r="N75" i="2"/>
  <c r="C75" i="2"/>
  <c r="M75" i="2"/>
  <c r="B75" i="2"/>
  <c r="O79" i="2"/>
  <c r="D79" i="2"/>
  <c r="N79" i="2"/>
  <c r="C79" i="2"/>
  <c r="M79" i="2"/>
  <c r="B79" i="2"/>
  <c r="O62" i="2"/>
  <c r="N62" i="2"/>
  <c r="M62" i="2"/>
  <c r="P62" i="2" s="1"/>
  <c r="D19" i="2"/>
  <c r="C19" i="2"/>
  <c r="B19" i="2"/>
  <c r="D18" i="2"/>
  <c r="C18" i="2"/>
  <c r="B18" i="2"/>
  <c r="F20" i="2"/>
  <c r="B24" i="2"/>
  <c r="C24" i="2"/>
  <c r="D24" i="2"/>
  <c r="B12" i="2"/>
  <c r="C12" i="2"/>
  <c r="D12" i="2"/>
  <c r="D13" i="2"/>
  <c r="C13" i="2"/>
  <c r="B13" i="2"/>
  <c r="B14" i="2"/>
  <c r="C14" i="2"/>
  <c r="D14" i="2"/>
  <c r="O69" i="2"/>
  <c r="N69" i="2"/>
  <c r="M69" i="2"/>
  <c r="O67" i="2"/>
  <c r="N67" i="2"/>
  <c r="M67" i="2"/>
  <c r="O71" i="2"/>
  <c r="N71" i="2"/>
  <c r="M71" i="2"/>
  <c r="D71" i="2"/>
  <c r="C71" i="2"/>
  <c r="B71" i="2"/>
  <c r="D69" i="2"/>
  <c r="C69" i="2"/>
  <c r="B69" i="2"/>
  <c r="D67" i="2"/>
  <c r="C67" i="2"/>
  <c r="B67" i="2"/>
  <c r="D62" i="2"/>
  <c r="C62" i="2"/>
  <c r="B62" i="2"/>
  <c r="O68" i="2"/>
  <c r="N68" i="2"/>
  <c r="M68" i="2"/>
  <c r="O66" i="2"/>
  <c r="N66" i="2"/>
  <c r="M66" i="2"/>
  <c r="O70" i="2"/>
  <c r="N70" i="2"/>
  <c r="M70" i="2"/>
  <c r="D68" i="2"/>
  <c r="C68" i="2"/>
  <c r="B68" i="2"/>
  <c r="D66" i="2"/>
  <c r="C66" i="2"/>
  <c r="B66" i="2"/>
  <c r="D70" i="2"/>
  <c r="C70" i="2"/>
  <c r="B70" i="2"/>
  <c r="O61" i="2"/>
  <c r="N61" i="2"/>
  <c r="M61" i="2"/>
  <c r="O60" i="2"/>
  <c r="N60" i="2"/>
  <c r="M60" i="2"/>
  <c r="O58" i="2"/>
  <c r="N58" i="2"/>
  <c r="M58" i="2"/>
  <c r="D60" i="2"/>
  <c r="C60" i="2"/>
  <c r="B60" i="2"/>
  <c r="D58" i="2"/>
  <c r="C58" i="2"/>
  <c r="B58" i="2"/>
  <c r="D61" i="2"/>
  <c r="C61" i="2"/>
  <c r="B61" i="2"/>
  <c r="O53" i="2"/>
  <c r="N53" i="2"/>
  <c r="M53" i="2"/>
  <c r="O52" i="2"/>
  <c r="N52" i="2"/>
  <c r="M52" i="2"/>
  <c r="O51" i="2"/>
  <c r="N51" i="2"/>
  <c r="M51" i="2"/>
  <c r="O49" i="2"/>
  <c r="N49" i="2"/>
  <c r="M49" i="2"/>
  <c r="D51" i="2"/>
  <c r="C51" i="2"/>
  <c r="B51" i="2"/>
  <c r="D49" i="2"/>
  <c r="C49" i="2"/>
  <c r="B49" i="2"/>
  <c r="D53" i="2"/>
  <c r="C53" i="2"/>
  <c r="B53" i="2"/>
  <c r="D52" i="2"/>
  <c r="C52" i="2"/>
  <c r="B52" i="2"/>
  <c r="O59" i="2"/>
  <c r="N59" i="2"/>
  <c r="M59" i="2"/>
  <c r="O57" i="2"/>
  <c r="N57" i="2"/>
  <c r="M57" i="2"/>
  <c r="D59" i="2"/>
  <c r="C59" i="2"/>
  <c r="B59" i="2"/>
  <c r="D57" i="2"/>
  <c r="C57" i="2"/>
  <c r="B57" i="2"/>
  <c r="O14" i="2"/>
  <c r="N14" i="2"/>
  <c r="M14" i="2"/>
  <c r="O13" i="2"/>
  <c r="N13" i="2"/>
  <c r="M13" i="2"/>
  <c r="O12" i="2"/>
  <c r="N12" i="2"/>
  <c r="M12" i="2"/>
  <c r="N8" i="2"/>
  <c r="C8" i="2"/>
  <c r="M8" i="2"/>
  <c r="B8" i="2"/>
  <c r="O41" i="2"/>
  <c r="D41" i="2"/>
  <c r="N41" i="2"/>
  <c r="C41" i="2"/>
  <c r="M41" i="2"/>
  <c r="B41" i="2"/>
  <c r="O39" i="2"/>
  <c r="D39" i="2"/>
  <c r="N39" i="2"/>
  <c r="C39" i="2"/>
  <c r="M39" i="2"/>
  <c r="B39" i="2"/>
  <c r="O43" i="2"/>
  <c r="D43" i="2"/>
  <c r="N43" i="2"/>
  <c r="C43" i="2"/>
  <c r="M43" i="2"/>
  <c r="B43" i="2"/>
  <c r="O42" i="2"/>
  <c r="D42" i="2"/>
  <c r="N42" i="2"/>
  <c r="C42" i="2"/>
  <c r="M42" i="2"/>
  <c r="B42" i="2"/>
  <c r="O34" i="2"/>
  <c r="D34" i="2"/>
  <c r="N34" i="2"/>
  <c r="C34" i="2"/>
  <c r="M34" i="2"/>
  <c r="B34" i="2"/>
  <c r="D33" i="2"/>
  <c r="O33" i="2"/>
  <c r="N33" i="2"/>
  <c r="C33" i="2"/>
  <c r="M33" i="2"/>
  <c r="B33" i="2"/>
  <c r="O50" i="2"/>
  <c r="N50" i="2"/>
  <c r="M50" i="2"/>
  <c r="D50" i="2"/>
  <c r="C50" i="2"/>
  <c r="B50" i="2"/>
  <c r="O48" i="2"/>
  <c r="N48" i="2"/>
  <c r="M48" i="2"/>
  <c r="D48" i="2"/>
  <c r="C48" i="2"/>
  <c r="B48" i="2"/>
  <c r="O40" i="2"/>
  <c r="D40" i="2"/>
  <c r="C40" i="2"/>
  <c r="N40" i="2"/>
  <c r="M40" i="2"/>
  <c r="B40" i="2"/>
  <c r="O32" i="2"/>
  <c r="D32" i="2"/>
  <c r="C32" i="2"/>
  <c r="N32" i="2"/>
  <c r="M32" i="2"/>
  <c r="B32" i="2"/>
  <c r="D38" i="2"/>
  <c r="O38" i="2"/>
  <c r="N38" i="2"/>
  <c r="C38" i="2"/>
  <c r="B38" i="2"/>
  <c r="M38" i="2"/>
  <c r="O30" i="2"/>
  <c r="D30" i="2"/>
  <c r="C30" i="2"/>
  <c r="N30" i="2"/>
  <c r="M30" i="2"/>
  <c r="B30" i="2"/>
  <c r="O31" i="2"/>
  <c r="N31" i="2"/>
  <c r="M31" i="2"/>
  <c r="D31" i="2"/>
  <c r="C31" i="2"/>
  <c r="B31" i="2"/>
  <c r="O25" i="2"/>
  <c r="N25" i="2"/>
  <c r="M25" i="2"/>
  <c r="D25" i="2"/>
  <c r="C25" i="2"/>
  <c r="B25" i="2"/>
  <c r="O7" i="2"/>
  <c r="N7" i="2"/>
  <c r="M7" i="2"/>
  <c r="D7" i="2"/>
  <c r="C7" i="2"/>
  <c r="B7" i="2"/>
  <c r="O29" i="2"/>
  <c r="N29" i="2"/>
  <c r="M29" i="2"/>
  <c r="D29" i="2"/>
  <c r="C29" i="2"/>
  <c r="B29" i="2"/>
  <c r="O24" i="2"/>
  <c r="N24" i="2"/>
  <c r="M24" i="2"/>
  <c r="O6" i="2"/>
  <c r="D6" i="2"/>
  <c r="N6" i="2"/>
  <c r="C6" i="2"/>
  <c r="M6" i="2"/>
  <c r="B6" i="2"/>
  <c r="B1" i="3"/>
  <c r="J5" i="2"/>
  <c r="B1" i="1"/>
  <c r="F49" i="2" l="1"/>
  <c r="Q76" i="2"/>
  <c r="F19" i="2"/>
  <c r="Q80" i="2"/>
  <c r="S80" i="2" s="1"/>
  <c r="Q79" i="2"/>
  <c r="P80" i="2"/>
  <c r="F18" i="2"/>
  <c r="H18" i="2" s="1"/>
  <c r="H19" i="2"/>
  <c r="Q62" i="2"/>
  <c r="S76" i="2"/>
  <c r="S79" i="2"/>
  <c r="F79" i="2"/>
  <c r="H79" i="2" s="1"/>
  <c r="F78" i="2"/>
  <c r="H78" i="2" s="1"/>
  <c r="R80" i="2"/>
  <c r="Q66" i="2"/>
  <c r="S66" i="2" s="1"/>
  <c r="Q69" i="2"/>
  <c r="S69" i="2" s="1"/>
  <c r="H20" i="2"/>
  <c r="E76" i="2"/>
  <c r="G76" i="2" s="1"/>
  <c r="R76" i="2"/>
  <c r="Q78" i="2"/>
  <c r="S78" i="2" s="1"/>
  <c r="F76" i="2"/>
  <c r="H76" i="2" s="1"/>
  <c r="E80" i="2"/>
  <c r="G80" i="2" s="1"/>
  <c r="Q77" i="2"/>
  <c r="S77" i="2" s="1"/>
  <c r="F77" i="2"/>
  <c r="H77" i="2" s="1"/>
  <c r="E77" i="2"/>
  <c r="G77" i="2" s="1"/>
  <c r="Q75" i="2"/>
  <c r="S75" i="2" s="1"/>
  <c r="E75" i="2"/>
  <c r="G75" i="2" s="1"/>
  <c r="E79" i="2"/>
  <c r="G79" i="2" s="1"/>
  <c r="P78" i="2"/>
  <c r="R78" i="2" s="1"/>
  <c r="E78" i="2"/>
  <c r="G78" i="2" s="1"/>
  <c r="P75" i="2"/>
  <c r="R75" i="2" s="1"/>
  <c r="P77" i="2"/>
  <c r="R77" i="2" s="1"/>
  <c r="F75" i="2"/>
  <c r="H75" i="2" s="1"/>
  <c r="P79" i="2"/>
  <c r="R79" i="2" s="1"/>
  <c r="E20" i="2"/>
  <c r="G20" i="2" s="1"/>
  <c r="E19" i="2"/>
  <c r="G19" i="2" s="1"/>
  <c r="E18" i="2"/>
  <c r="G18" i="2" s="1"/>
  <c r="E58" i="2"/>
  <c r="P48" i="2"/>
  <c r="R48" i="2" s="1"/>
  <c r="E31" i="2"/>
  <c r="Q14" i="2"/>
  <c r="S14" i="2" s="1"/>
  <c r="Q61" i="2"/>
  <c r="S61" i="2" s="1"/>
  <c r="F8" i="2"/>
  <c r="H8" i="2" s="1"/>
  <c r="F12" i="2"/>
  <c r="H12" i="2" s="1"/>
  <c r="Q58" i="2"/>
  <c r="S58" i="2" s="1"/>
  <c r="F70" i="2"/>
  <c r="H70" i="2" s="1"/>
  <c r="E24" i="2"/>
  <c r="G24" i="2" s="1"/>
  <c r="Q59" i="2"/>
  <c r="S59" i="2" s="1"/>
  <c r="E66" i="2"/>
  <c r="G66" i="2" s="1"/>
  <c r="E33" i="2"/>
  <c r="G33" i="2" s="1"/>
  <c r="Q53" i="2"/>
  <c r="S53" i="2" s="1"/>
  <c r="F25" i="2"/>
  <c r="H25" i="2" s="1"/>
  <c r="P49" i="2"/>
  <c r="R49" i="2" s="1"/>
  <c r="Q60" i="2"/>
  <c r="S60" i="2" s="1"/>
  <c r="F24" i="2"/>
  <c r="H24" i="2" s="1"/>
  <c r="Q34" i="2"/>
  <c r="Q39" i="2"/>
  <c r="S39" i="2" s="1"/>
  <c r="P41" i="2"/>
  <c r="R41" i="2" s="1"/>
  <c r="P14" i="2"/>
  <c r="R14" i="2" s="1"/>
  <c r="Q70" i="2"/>
  <c r="S70" i="2" s="1"/>
  <c r="E69" i="2"/>
  <c r="G69" i="2" s="1"/>
  <c r="P67" i="2"/>
  <c r="R67" i="2" s="1"/>
  <c r="E50" i="2"/>
  <c r="G50" i="2" s="1"/>
  <c r="E32" i="2"/>
  <c r="G32" i="2" s="1"/>
  <c r="E62" i="2"/>
  <c r="G62" i="2" s="1"/>
  <c r="Q29" i="2"/>
  <c r="S29" i="2" s="1"/>
  <c r="P42" i="2"/>
  <c r="R42" i="2" s="1"/>
  <c r="F61" i="2"/>
  <c r="H61" i="2" s="1"/>
  <c r="F30" i="2"/>
  <c r="H30" i="2" s="1"/>
  <c r="F59" i="2"/>
  <c r="H59" i="2" s="1"/>
  <c r="E52" i="2"/>
  <c r="G52" i="2" s="1"/>
  <c r="E61" i="2"/>
  <c r="G61" i="2" s="1"/>
  <c r="P58" i="2"/>
  <c r="R58" i="2" s="1"/>
  <c r="F68" i="2"/>
  <c r="H68" i="2" s="1"/>
  <c r="E71" i="2"/>
  <c r="G71" i="2" s="1"/>
  <c r="E70" i="2"/>
  <c r="G70" i="2" s="1"/>
  <c r="Q71" i="2"/>
  <c r="S71" i="2" s="1"/>
  <c r="F14" i="2"/>
  <c r="H14" i="2" s="1"/>
  <c r="P33" i="2"/>
  <c r="R33" i="2" s="1"/>
  <c r="E68" i="2"/>
  <c r="G68" i="2" s="1"/>
  <c r="Q25" i="2"/>
  <c r="S25" i="2" s="1"/>
  <c r="F50" i="2"/>
  <c r="H50" i="2" s="1"/>
  <c r="F33" i="2"/>
  <c r="H33" i="2" s="1"/>
  <c r="P60" i="2"/>
  <c r="R60" i="2" s="1"/>
  <c r="F66" i="2"/>
  <c r="H66" i="2" s="1"/>
  <c r="E29" i="2"/>
  <c r="G29" i="2" s="1"/>
  <c r="F32" i="2"/>
  <c r="H32" i="2" s="1"/>
  <c r="Q51" i="2"/>
  <c r="S51" i="2" s="1"/>
  <c r="F60" i="2"/>
  <c r="H60" i="2" s="1"/>
  <c r="F71" i="2"/>
  <c r="H71" i="2" s="1"/>
  <c r="P69" i="2"/>
  <c r="R69" i="2" s="1"/>
  <c r="P71" i="2"/>
  <c r="R71" i="2" s="1"/>
  <c r="F31" i="2"/>
  <c r="H31" i="2" s="1"/>
  <c r="G58" i="2"/>
  <c r="R62" i="2"/>
  <c r="F51" i="2"/>
  <c r="H51" i="2" s="1"/>
  <c r="F38" i="2"/>
  <c r="H38" i="2" s="1"/>
  <c r="E25" i="2"/>
  <c r="G25" i="2" s="1"/>
  <c r="Q48" i="2"/>
  <c r="S48" i="2" s="1"/>
  <c r="Q41" i="2"/>
  <c r="F58" i="2"/>
  <c r="H58" i="2" s="1"/>
  <c r="E67" i="2"/>
  <c r="G67" i="2" s="1"/>
  <c r="E12" i="2"/>
  <c r="G12" i="2" s="1"/>
  <c r="Q38" i="2"/>
  <c r="S38" i="2" s="1"/>
  <c r="Q13" i="2"/>
  <c r="S13" i="2" s="1"/>
  <c r="F48" i="2"/>
  <c r="H48" i="2" s="1"/>
  <c r="E34" i="2"/>
  <c r="G34" i="2" s="1"/>
  <c r="F42" i="2"/>
  <c r="H42" i="2" s="1"/>
  <c r="E43" i="2"/>
  <c r="G43" i="2" s="1"/>
  <c r="F41" i="2"/>
  <c r="H41" i="2" s="1"/>
  <c r="E8" i="2"/>
  <c r="G8" i="2" s="1"/>
  <c r="S62" i="2"/>
  <c r="Q57" i="2"/>
  <c r="S57" i="2" s="1"/>
  <c r="Q52" i="2"/>
  <c r="S52" i="2" s="1"/>
  <c r="Q30" i="2"/>
  <c r="S30" i="2" s="1"/>
  <c r="P53" i="2"/>
  <c r="R53" i="2" s="1"/>
  <c r="Q67" i="2"/>
  <c r="S67" i="2" s="1"/>
  <c r="F69" i="2"/>
  <c r="H69" i="2" s="1"/>
  <c r="F67" i="2"/>
  <c r="H67" i="2" s="1"/>
  <c r="F62" i="2"/>
  <c r="H62" i="2" s="1"/>
  <c r="Q68" i="2"/>
  <c r="S68" i="2" s="1"/>
  <c r="P70" i="2"/>
  <c r="R70" i="2" s="1"/>
  <c r="P66" i="2"/>
  <c r="R66" i="2" s="1"/>
  <c r="P68" i="2"/>
  <c r="R68" i="2" s="1"/>
  <c r="P61" i="2"/>
  <c r="R61" i="2" s="1"/>
  <c r="E60" i="2"/>
  <c r="G60" i="2" s="1"/>
  <c r="P52" i="2"/>
  <c r="R52" i="2" s="1"/>
  <c r="P51" i="2"/>
  <c r="R51" i="2" s="1"/>
  <c r="Q49" i="2"/>
  <c r="S49" i="2" s="1"/>
  <c r="E51" i="2"/>
  <c r="G51" i="2" s="1"/>
  <c r="E49" i="2"/>
  <c r="G49" i="2" s="1"/>
  <c r="E53" i="2"/>
  <c r="F53" i="2"/>
  <c r="H53" i="2" s="1"/>
  <c r="F52" i="2"/>
  <c r="H52" i="2" s="1"/>
  <c r="P59" i="2"/>
  <c r="R59" i="2" s="1"/>
  <c r="E59" i="2"/>
  <c r="G59" i="2" s="1"/>
  <c r="F57" i="2"/>
  <c r="H57" i="2" s="1"/>
  <c r="E57" i="2"/>
  <c r="G57" i="2" s="1"/>
  <c r="P57" i="2"/>
  <c r="R57" i="2" s="1"/>
  <c r="E14" i="2"/>
  <c r="G14" i="2" s="1"/>
  <c r="E6" i="2"/>
  <c r="G6" i="2" s="1"/>
  <c r="Q40" i="2"/>
  <c r="S40" i="2" s="1"/>
  <c r="H49" i="2"/>
  <c r="Q6" i="2"/>
  <c r="S6" i="2" s="1"/>
  <c r="Q24" i="2"/>
  <c r="S24" i="2" s="1"/>
  <c r="P31" i="2"/>
  <c r="R31" i="2" s="1"/>
  <c r="E7" i="2"/>
  <c r="G7" i="2" s="1"/>
  <c r="Q32" i="2"/>
  <c r="S32" i="2" s="1"/>
  <c r="Q8" i="2"/>
  <c r="S8" i="2" s="1"/>
  <c r="Q7" i="2"/>
  <c r="S7" i="2" s="1"/>
  <c r="P25" i="2"/>
  <c r="R25" i="2" s="1"/>
  <c r="P32" i="2"/>
  <c r="R32" i="2" s="1"/>
  <c r="G31" i="2"/>
  <c r="F43" i="2"/>
  <c r="H43" i="2" s="1"/>
  <c r="Q12" i="2"/>
  <c r="S12" i="2" s="1"/>
  <c r="P38" i="2"/>
  <c r="R38" i="2" s="1"/>
  <c r="E40" i="2"/>
  <c r="G40" i="2" s="1"/>
  <c r="F13" i="2"/>
  <c r="H13" i="2" s="1"/>
  <c r="P13" i="2"/>
  <c r="R13" i="2" s="1"/>
  <c r="P12" i="2"/>
  <c r="R12" i="2" s="1"/>
  <c r="E13" i="2"/>
  <c r="G13" i="2" s="1"/>
  <c r="F6" i="2"/>
  <c r="H6" i="2" s="1"/>
  <c r="F29" i="2"/>
  <c r="H29" i="2" s="1"/>
  <c r="P30" i="2"/>
  <c r="R30" i="2" s="1"/>
  <c r="P7" i="2"/>
  <c r="R7" i="2" s="1"/>
  <c r="F40" i="2"/>
  <c r="H40" i="2" s="1"/>
  <c r="S34" i="2"/>
  <c r="P39" i="2"/>
  <c r="R39" i="2" s="1"/>
  <c r="F7" i="2"/>
  <c r="H7" i="2" s="1"/>
  <c r="Q31" i="2"/>
  <c r="S31" i="2" s="1"/>
  <c r="P40" i="2"/>
  <c r="R40" i="2" s="1"/>
  <c r="S41" i="2"/>
  <c r="P6" i="2"/>
  <c r="R6" i="2" s="1"/>
  <c r="P24" i="2"/>
  <c r="R24" i="2" s="1"/>
  <c r="P29" i="2"/>
  <c r="R29" i="2" s="1"/>
  <c r="E38" i="2"/>
  <c r="G38" i="2" s="1"/>
  <c r="E48" i="2"/>
  <c r="G48" i="2" s="1"/>
  <c r="E30" i="2"/>
  <c r="G30" i="2" s="1"/>
  <c r="G53" i="2"/>
  <c r="Q50" i="2"/>
  <c r="S50" i="2" s="1"/>
  <c r="Q42" i="2"/>
  <c r="S42" i="2" s="1"/>
  <c r="P8" i="2"/>
  <c r="R8" i="2" s="1"/>
  <c r="E41" i="2"/>
  <c r="G41" i="2" s="1"/>
  <c r="F39" i="2"/>
  <c r="H39" i="2" s="1"/>
  <c r="E39" i="2"/>
  <c r="G39" i="2" s="1"/>
  <c r="P43" i="2"/>
  <c r="R43" i="2" s="1"/>
  <c r="Q43" i="2"/>
  <c r="S43" i="2" s="1"/>
  <c r="E42" i="2"/>
  <c r="G42" i="2" s="1"/>
  <c r="P34" i="2"/>
  <c r="R34" i="2" s="1"/>
  <c r="F34" i="2"/>
  <c r="H34" i="2" s="1"/>
  <c r="Q33" i="2"/>
  <c r="S33" i="2" s="1"/>
  <c r="P50" i="2"/>
  <c r="R50" i="2" s="1"/>
</calcChain>
</file>

<file path=xl/sharedStrings.xml><?xml version="1.0" encoding="utf-8"?>
<sst xmlns="http://schemas.openxmlformats.org/spreadsheetml/2006/main" count="441" uniqueCount="89">
  <si>
    <t>EVA, 90 C, 22%RH, oxidative</t>
  </si>
  <si>
    <t>Aging time</t>
  </si>
  <si>
    <t>Tc</t>
  </si>
  <si>
    <t>POE, 90 C, 22%RH, oxidative</t>
  </si>
  <si>
    <t>0 weeks</t>
  </si>
  <si>
    <t>2 weeks</t>
  </si>
  <si>
    <t>4 weeks</t>
  </si>
  <si>
    <t>8 weeks</t>
  </si>
  <si>
    <t>14 weeks</t>
  </si>
  <si>
    <t>20 weeks</t>
  </si>
  <si>
    <t>30 weeks</t>
  </si>
  <si>
    <t>Heat of fusion 100% crystalline PE (J/g)</t>
  </si>
  <si>
    <t>Crystallinity (%)</t>
  </si>
  <si>
    <t>Tracy, Dagmar et. al</t>
  </si>
  <si>
    <t>1 weeks</t>
  </si>
  <si>
    <t>Heat of fusion (J/g)</t>
  </si>
  <si>
    <t>Trial 1</t>
  </si>
  <si>
    <t>Trial 2</t>
  </si>
  <si>
    <t>Trial 3</t>
  </si>
  <si>
    <t>Average</t>
  </si>
  <si>
    <t>Std. dev</t>
  </si>
  <si>
    <t>Heats of fusion</t>
  </si>
  <si>
    <t>Unaged samples</t>
  </si>
  <si>
    <t>1 week aged samples</t>
  </si>
  <si>
    <t>2 weeks aged samples</t>
  </si>
  <si>
    <t>EVA 5x cured</t>
  </si>
  <si>
    <t>POE 5x cured</t>
  </si>
  <si>
    <t>EPE 5x cured</t>
  </si>
  <si>
    <t>4 weeks aged samples</t>
  </si>
  <si>
    <t>EVA, 90 C, 22% RH, oxidative, no UV, 2 wks</t>
  </si>
  <si>
    <t>EVA, 90 C, inert, no UV, 2 wks</t>
  </si>
  <si>
    <t>POE 90 C, 22% RH, oxidative, no UV, 2 wks</t>
  </si>
  <si>
    <t>POE 90 C, inert, no UV, 2 wks</t>
  </si>
  <si>
    <t>EPE 90 C, 22% RH, oxidative, no UV, 2 wks</t>
  </si>
  <si>
    <t>EPE 90 C, inert, no UV, 2 wks</t>
  </si>
  <si>
    <t>EVA, 90 C, 22% RH, oxidative, no UV, 4 wks</t>
  </si>
  <si>
    <t>EVA, 90 C, inert, no UV, 4 wks</t>
  </si>
  <si>
    <t>POE 90 C, 22% RH, oxidative, no UV, 4 wks</t>
  </si>
  <si>
    <t>POE 90 C, inert, no UV, 4 wks</t>
  </si>
  <si>
    <t>EPE 90 C, 22% RH, oxidative, no UV, 4 wks</t>
  </si>
  <si>
    <t>EPE 90 C, inert, no UV, 4 wks</t>
  </si>
  <si>
    <t>EPE, 90 C, 22%RH, oxidative</t>
  </si>
  <si>
    <t>EVA, 90 C, inert</t>
  </si>
  <si>
    <t>POE, 90 C, inert</t>
  </si>
  <si>
    <t>EPE, 90 C, inert</t>
  </si>
  <si>
    <t>Tracy, Dagmar</t>
  </si>
  <si>
    <t>Results below are analyzed with first heating curve melting enthalpy</t>
  </si>
  <si>
    <t>Results below are analyzed with second heating curve melting enthalpy</t>
  </si>
  <si>
    <t>EVA, 90 C, 22% RH, oxidative, no UV, 1 wk</t>
  </si>
  <si>
    <t>POE 90 C, 22% RH, oxidative, no UV, 1 wk</t>
  </si>
  <si>
    <t>8 weeks aged samples</t>
  </si>
  <si>
    <t>EVA, 90 C, 22% RH, oxidative, no UV, 8 wks</t>
  </si>
  <si>
    <t>EVA, 90 C, inert, no UV, 8 wks</t>
  </si>
  <si>
    <t>POE 90 C, 22% RH, oxidative, no UV, 8 wks</t>
  </si>
  <si>
    <t>POE 90 C, inert, no UV, 8 wks</t>
  </si>
  <si>
    <t>EPE 90 C, 22% RH, oxidative, no UV, 8 wks</t>
  </si>
  <si>
    <t>EPE 90 C, inert, no UV, 8 wks</t>
  </si>
  <si>
    <t>EVA, 90 C, 22% RH, oxidative, no UV, 1 hr</t>
  </si>
  <si>
    <t>POE 90 C, 22% RH, oxidative, no UV, 1 hr</t>
  </si>
  <si>
    <t>EPE 90 C, 22% RH, oxidative, no UV, 1 hr</t>
  </si>
  <si>
    <t>14 weeks aged samples</t>
  </si>
  <si>
    <t>EVA, 90 C, 22% RH, oxidative, no UV, 14 wks</t>
  </si>
  <si>
    <t>EVA, 90 C, inert, no UV, 14 wks</t>
  </si>
  <si>
    <t>POE 90 C, 22% RH, oxidative, no UV, 14 wks</t>
  </si>
  <si>
    <t>POE 90 C, inert, no UV, 14 wks</t>
  </si>
  <si>
    <t>EPE 90 C, inert, no UV, 14 wks</t>
  </si>
  <si>
    <t>EPE 90 C, 22% RH, oxidative, no UV, 16 wks + 29 hrs</t>
  </si>
  <si>
    <t>20 weeks aged samples</t>
  </si>
  <si>
    <t>EVA, 90 C, 22% RH, oxidative, no UV, 20 wks</t>
  </si>
  <si>
    <t>EVA, 90 C, inert, no UV, 20 wks</t>
  </si>
  <si>
    <t>POE 90 C, 22% RH, oxidative, no UV, 20 wks</t>
  </si>
  <si>
    <t>POE 90 C, inert, no UV, 20 wks</t>
  </si>
  <si>
    <t>EPE 90 C, 22% RH, oxidative, no UV, 20 wks</t>
  </si>
  <si>
    <t>EPE 90 C, inert, no UV, 20 wks</t>
  </si>
  <si>
    <t>EVA, 90 C, &lt;= 10% RH, oxidative, no UV, 1 hr</t>
  </si>
  <si>
    <t>POE 90 C, &lt;= 10% RH, oxidative, no UV, 1 hr</t>
  </si>
  <si>
    <t>EPE 90 C, &lt;= 10% RH, oxidative, no UV, 1 hr</t>
  </si>
  <si>
    <t>1 hr aged samples (maybe from Batch 2…). Don’t include</t>
  </si>
  <si>
    <t>30 weeks aged samples</t>
  </si>
  <si>
    <t>EVA, 90 C, 22% RH, oxidative, no UV, 30 wks</t>
  </si>
  <si>
    <t>EVA, 90 C, inert, no UV, 30 wks</t>
  </si>
  <si>
    <t>POE 90 C, 22% RH, oxidative, no UV, 30 wks</t>
  </si>
  <si>
    <t>POE 90 C, inert, no UV, 30 wks</t>
  </si>
  <si>
    <t>EPE 90 C, 22% RH, oxidative, no UV, 30 wks</t>
  </si>
  <si>
    <t>EPE 90 C, inert, no UV, 30 wks</t>
  </si>
  <si>
    <t>1 hr aged samples (stoppered tubes). Samples may be from Batch 2 or not equilibrated fully…</t>
  </si>
  <si>
    <t>1 hr aged  (open tubes). Samples may be from Batch 2 or not equilibrated fully?</t>
  </si>
  <si>
    <t>Condition A: 90 Celsius, open-air, no UV</t>
  </si>
  <si>
    <t>Condition B: 90 Celsius, inert, no UV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</si>
</sst>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19DA5-5369-4655-AE34-D6F05294E3A0}">
  <dimension ref="A1:S80"/>
  <sheetViews>
    <sheetView tabSelected="1" zoomScale="70" zoomScaleNormal="70" workbookViewId="0">
      <selection activeCell="P6" sqref="P6"/>
    </sheetView>
  </sheetViews>
  <sheetFormatPr defaultRowHeight="14.5" x14ac:dyDescent="0.35"/>
  <cols>
    <col min="1" max="1" width="23.90625" style="1" customWidth="1"/>
    <col min="2" max="4" width="8.7265625" style="1"/>
    <col min="5" max="6" width="11.453125" style="1" bestFit="1" customWidth="1"/>
    <col min="7" max="7" width="8.7265625" style="1"/>
    <col min="8" max="8" width="11.453125" style="1" bestFit="1" customWidth="1"/>
    <col min="9" max="9" width="8.7265625" style="1"/>
    <col min="10" max="10" width="19.1796875" style="1" customWidth="1"/>
    <col min="11" max="11" width="8.7265625" style="1"/>
    <col min="12" max="12" width="25.54296875" style="1" customWidth="1"/>
    <col min="13" max="13" width="15.08984375" style="1" bestFit="1" customWidth="1"/>
    <col min="14" max="14" width="8.36328125" style="1" customWidth="1"/>
    <col min="15" max="15" width="6.7265625" style="1" bestFit="1" customWidth="1"/>
    <col min="16" max="16384" width="8.7265625" style="1"/>
  </cols>
  <sheetData>
    <row r="1" spans="1:19" x14ac:dyDescent="0.35">
      <c r="A1" t="s">
        <v>87</v>
      </c>
      <c r="L1" t="s">
        <v>87</v>
      </c>
    </row>
    <row r="2" spans="1:19" x14ac:dyDescent="0.35">
      <c r="A2" t="s">
        <v>88</v>
      </c>
      <c r="L2" t="s">
        <v>88</v>
      </c>
    </row>
    <row r="3" spans="1:19" x14ac:dyDescent="0.35">
      <c r="A3"/>
    </row>
    <row r="4" spans="1:19" ht="26.5" customHeight="1" x14ac:dyDescent="0.35">
      <c r="A4" s="3" t="s">
        <v>46</v>
      </c>
      <c r="B4" s="1" t="s">
        <v>21</v>
      </c>
      <c r="G4" s="1" t="s">
        <v>12</v>
      </c>
      <c r="J4" s="1" t="s">
        <v>11</v>
      </c>
      <c r="L4" s="3" t="s">
        <v>47</v>
      </c>
      <c r="M4" s="1" t="s">
        <v>21</v>
      </c>
      <c r="R4" s="1" t="s">
        <v>12</v>
      </c>
    </row>
    <row r="5" spans="1:19" x14ac:dyDescent="0.35">
      <c r="A5" s="4" t="s">
        <v>22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19</v>
      </c>
      <c r="H5" s="1" t="s">
        <v>20</v>
      </c>
      <c r="J5" s="1">
        <f xml:space="preserve"> 290</f>
        <v>290</v>
      </c>
      <c r="L5" s="4" t="s">
        <v>22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19</v>
      </c>
      <c r="S5" s="1" t="s">
        <v>20</v>
      </c>
    </row>
    <row r="6" spans="1:19" x14ac:dyDescent="0.35">
      <c r="A6" s="1" t="s">
        <v>25</v>
      </c>
      <c r="B6" s="1">
        <f xml:space="preserve"> 31.456</f>
        <v>31.456</v>
      </c>
      <c r="C6" s="1">
        <f xml:space="preserve"> 30.06</f>
        <v>30.06</v>
      </c>
      <c r="D6" s="1">
        <f xml:space="preserve"> 30.008</f>
        <v>30.007999999999999</v>
      </c>
      <c r="E6" s="1">
        <f xml:space="preserve"> AVERAGE(B6:D6)</f>
        <v>30.507999999999999</v>
      </c>
      <c r="F6" s="1">
        <f xml:space="preserve"> _xlfn.STDEV.S(B6:D6)</f>
        <v>0.82140367664139446</v>
      </c>
      <c r="G6" s="1">
        <f xml:space="preserve"> E6/$J$5 * 100</f>
        <v>10.52</v>
      </c>
      <c r="H6" s="1">
        <f xml:space="preserve"> F6/$J$5 * 100</f>
        <v>0.28324264711772223</v>
      </c>
      <c r="J6" s="1" t="s">
        <v>13</v>
      </c>
      <c r="L6" s="1" t="s">
        <v>25</v>
      </c>
      <c r="M6" s="1">
        <f xml:space="preserve"> 12.229</f>
        <v>12.228999999999999</v>
      </c>
      <c r="N6" s="1">
        <f xml:space="preserve"> 11.883</f>
        <v>11.882999999999999</v>
      </c>
      <c r="O6" s="1">
        <f xml:space="preserve"> 12.111</f>
        <v>12.111000000000001</v>
      </c>
      <c r="P6" s="1">
        <f xml:space="preserve"> AVERAGE(M6:O6)</f>
        <v>12.074333333333334</v>
      </c>
      <c r="Q6" s="1">
        <f xml:space="preserve"> _xlfn.STDEV.S(M6:O6)</f>
        <v>0.17589011721337103</v>
      </c>
      <c r="R6" s="1">
        <f xml:space="preserve"> P6/$J$5 * 100</f>
        <v>4.1635632183908049</v>
      </c>
      <c r="S6" s="1">
        <f xml:space="preserve"> Q6/$J$5 * 100</f>
        <v>6.0651764556334829E-2</v>
      </c>
    </row>
    <row r="7" spans="1:19" x14ac:dyDescent="0.35">
      <c r="A7" s="1" t="s">
        <v>26</v>
      </c>
      <c r="B7" s="1">
        <f xml:space="preserve"> 26.877</f>
        <v>26.876999999999999</v>
      </c>
      <c r="C7" s="1">
        <f xml:space="preserve"> 25.126</f>
        <v>25.126000000000001</v>
      </c>
      <c r="D7" s="1">
        <f xml:space="preserve"> 25.375</f>
        <v>25.375</v>
      </c>
      <c r="E7" s="1">
        <f t="shared" ref="E7:E8" si="0" xml:space="preserve"> AVERAGE(B7:D7)</f>
        <v>25.792666666666666</v>
      </c>
      <c r="F7" s="1">
        <f t="shared" ref="F7:F8" si="1" xml:space="preserve"> _xlfn.STDEV.S(B7:D7)</f>
        <v>0.94727732651707197</v>
      </c>
      <c r="G7" s="1">
        <f t="shared" ref="G7:G8" si="2" xml:space="preserve"> E7/$J$5 * 100</f>
        <v>8.8940229885057462</v>
      </c>
      <c r="H7" s="1">
        <f t="shared" ref="H7:H8" si="3" xml:space="preserve"> F7/$J$5 * 100</f>
        <v>0.32664735397140415</v>
      </c>
      <c r="L7" s="1" t="s">
        <v>26</v>
      </c>
      <c r="M7" s="1">
        <f xml:space="preserve"> 9.8526</f>
        <v>9.8526000000000007</v>
      </c>
      <c r="N7" s="1">
        <f xml:space="preserve"> 9.3871</f>
        <v>9.3871000000000002</v>
      </c>
      <c r="O7" s="1">
        <f xml:space="preserve"> 9.4634</f>
        <v>9.4634</v>
      </c>
      <c r="P7" s="1">
        <f t="shared" ref="P7:P8" si="4" xml:space="preserve"> AVERAGE(M7:O7)</f>
        <v>9.5677000000000003</v>
      </c>
      <c r="Q7" s="1">
        <f t="shared" ref="Q7:Q8" si="5" xml:space="preserve"> _xlfn.STDEV.S(M7:O7)</f>
        <v>0.24966263236615957</v>
      </c>
      <c r="R7" s="1">
        <f t="shared" ref="R7:R8" si="6" xml:space="preserve"> P7/$J$5 * 100</f>
        <v>3.2992068965517243</v>
      </c>
      <c r="S7" s="1">
        <f t="shared" ref="S7:S8" si="7" xml:space="preserve"> Q7/$J$5 * 100</f>
        <v>8.6090562884882607E-2</v>
      </c>
    </row>
    <row r="8" spans="1:19" x14ac:dyDescent="0.35">
      <c r="A8" s="1" t="s">
        <v>27</v>
      </c>
      <c r="B8" s="1">
        <f xml:space="preserve"> 27.019</f>
        <v>27.018999999999998</v>
      </c>
      <c r="C8" s="1">
        <f xml:space="preserve"> 26.386</f>
        <v>26.385999999999999</v>
      </c>
      <c r="E8" s="1">
        <f t="shared" si="0"/>
        <v>26.702500000000001</v>
      </c>
      <c r="F8" s="1">
        <f t="shared" si="1"/>
        <v>0.44759859249108397</v>
      </c>
      <c r="G8" s="1">
        <f t="shared" si="2"/>
        <v>9.2077586206896562</v>
      </c>
      <c r="H8" s="1">
        <f t="shared" si="3"/>
        <v>0.15434434223830482</v>
      </c>
      <c r="L8" s="1" t="s">
        <v>27</v>
      </c>
      <c r="M8" s="1">
        <f xml:space="preserve"> 11.547</f>
        <v>11.547000000000001</v>
      </c>
      <c r="N8" s="1">
        <f xml:space="preserve"> 11.054</f>
        <v>11.054</v>
      </c>
      <c r="P8" s="1">
        <f t="shared" si="4"/>
        <v>11.3005</v>
      </c>
      <c r="Q8" s="1">
        <f t="shared" si="5"/>
        <v>0.34860364312496817</v>
      </c>
      <c r="R8" s="1">
        <f t="shared" si="6"/>
        <v>3.8967241379310344</v>
      </c>
      <c r="S8" s="1">
        <f t="shared" si="7"/>
        <v>0.12020815280171315</v>
      </c>
    </row>
    <row r="10" spans="1:19" ht="29" x14ac:dyDescent="0.35">
      <c r="B10" s="1" t="s">
        <v>21</v>
      </c>
      <c r="G10" s="1" t="s">
        <v>12</v>
      </c>
      <c r="M10" s="1" t="s">
        <v>21</v>
      </c>
      <c r="R10" s="1" t="s">
        <v>12</v>
      </c>
    </row>
    <row r="11" spans="1:19" ht="58" x14ac:dyDescent="0.35">
      <c r="A11" s="4" t="s">
        <v>86</v>
      </c>
      <c r="B11" s="1" t="s">
        <v>16</v>
      </c>
      <c r="C11" s="1" t="s">
        <v>17</v>
      </c>
      <c r="D11" s="1" t="s">
        <v>18</v>
      </c>
      <c r="E11" s="1" t="s">
        <v>19</v>
      </c>
      <c r="F11" s="1" t="s">
        <v>20</v>
      </c>
      <c r="G11" s="1" t="s">
        <v>19</v>
      </c>
      <c r="H11" s="1" t="s">
        <v>20</v>
      </c>
      <c r="L11" s="4" t="s">
        <v>77</v>
      </c>
      <c r="M11" s="1" t="s">
        <v>16</v>
      </c>
      <c r="N11" s="1" t="s">
        <v>17</v>
      </c>
      <c r="O11" s="1" t="s">
        <v>18</v>
      </c>
      <c r="P11" s="1" t="s">
        <v>19</v>
      </c>
      <c r="Q11" s="1" t="s">
        <v>20</v>
      </c>
      <c r="R11" s="1" t="s">
        <v>19</v>
      </c>
      <c r="S11" s="1" t="s">
        <v>20</v>
      </c>
    </row>
    <row r="12" spans="1:19" ht="29" x14ac:dyDescent="0.35">
      <c r="A12" s="1" t="s">
        <v>57</v>
      </c>
      <c r="B12" s="1">
        <f xml:space="preserve"> 22.966</f>
        <v>22.966000000000001</v>
      </c>
      <c r="C12" s="1">
        <f xml:space="preserve"> 25.569</f>
        <v>25.568999999999999</v>
      </c>
      <c r="D12" s="1">
        <f xml:space="preserve"> 23.865</f>
        <v>23.864999999999998</v>
      </c>
      <c r="E12" s="1">
        <f xml:space="preserve"> AVERAGE(B12:D12)</f>
        <v>24.133333333333329</v>
      </c>
      <c r="F12" s="1">
        <f xml:space="preserve"> _xlfn.STDEV.S(B12:D12)</f>
        <v>1.3220833307070061</v>
      </c>
      <c r="G12" s="1">
        <f t="shared" ref="G12:H14" si="8" xml:space="preserve"> E12/$J$5 * 100</f>
        <v>8.3218390804597675</v>
      </c>
      <c r="H12" s="1">
        <f t="shared" si="8"/>
        <v>0.45589080369207108</v>
      </c>
      <c r="L12" s="1" t="s">
        <v>57</v>
      </c>
      <c r="M12" s="1">
        <f xml:space="preserve"> 11.555</f>
        <v>11.555</v>
      </c>
      <c r="N12" s="1">
        <f xml:space="preserve"> 11.852</f>
        <v>11.852</v>
      </c>
      <c r="O12" s="1">
        <f xml:space="preserve"> 11.931</f>
        <v>11.930999999999999</v>
      </c>
      <c r="P12" s="1">
        <f xml:space="preserve"> AVERAGE(M12:O12)</f>
        <v>11.779333333333334</v>
      </c>
      <c r="Q12" s="1">
        <f xml:space="preserve"> _xlfn.STDEV.S(M12:O12)</f>
        <v>0.1982532051022966</v>
      </c>
      <c r="R12" s="1">
        <f t="shared" ref="R12:S14" si="9" xml:space="preserve"> P12/$J$5 * 100</f>
        <v>4.0618390804597704</v>
      </c>
      <c r="S12" s="1">
        <f t="shared" si="9"/>
        <v>6.8363174173205726E-2</v>
      </c>
    </row>
    <row r="13" spans="1:19" ht="29" x14ac:dyDescent="0.35">
      <c r="A13" s="1" t="s">
        <v>58</v>
      </c>
      <c r="B13" s="1">
        <f xml:space="preserve"> 20.288</f>
        <v>20.288</v>
      </c>
      <c r="C13" s="1">
        <f xml:space="preserve"> 20.331</f>
        <v>20.331</v>
      </c>
      <c r="D13" s="1">
        <f xml:space="preserve"> 20.313</f>
        <v>20.312999999999999</v>
      </c>
      <c r="E13" s="1">
        <f xml:space="preserve"> AVERAGE(B13:D13)</f>
        <v>20.310666666666666</v>
      </c>
      <c r="F13" s="1">
        <f xml:space="preserve"> _xlfn.STDEV.S(B13:D13)</f>
        <v>2.1594752448993598E-2</v>
      </c>
      <c r="G13" s="1">
        <f t="shared" si="8"/>
        <v>7.0036781609195398</v>
      </c>
      <c r="H13" s="1">
        <f t="shared" si="8"/>
        <v>7.4464663617219307E-3</v>
      </c>
      <c r="L13" s="1" t="s">
        <v>58</v>
      </c>
      <c r="M13" s="1">
        <f xml:space="preserve"> 9.576</f>
        <v>9.5760000000000005</v>
      </c>
      <c r="N13" s="1">
        <f xml:space="preserve"> 9.7144</f>
        <v>9.7143999999999995</v>
      </c>
      <c r="O13" s="1">
        <f xml:space="preserve"> 9.7799</f>
        <v>9.7798999999999996</v>
      </c>
      <c r="P13" s="1">
        <f xml:space="preserve"> AVERAGE(M13:O13)</f>
        <v>9.6900999999999993</v>
      </c>
      <c r="Q13" s="1">
        <f xml:space="preserve"> _xlfn.STDEV.S(M13:O13)</f>
        <v>0.10409932756747227</v>
      </c>
      <c r="R13" s="1">
        <f t="shared" si="9"/>
        <v>3.341413793103448</v>
      </c>
      <c r="S13" s="1">
        <f t="shared" si="9"/>
        <v>3.5896319850852509E-2</v>
      </c>
    </row>
    <row r="14" spans="1:19" ht="29" x14ac:dyDescent="0.35">
      <c r="A14" s="1" t="s">
        <v>59</v>
      </c>
      <c r="B14" s="1">
        <f xml:space="preserve"> 21.407</f>
        <v>21.407</v>
      </c>
      <c r="C14" s="1">
        <f xml:space="preserve"> 19.566</f>
        <v>19.565999999999999</v>
      </c>
      <c r="D14" s="1">
        <f xml:space="preserve"> 20.284</f>
        <v>20.283999999999999</v>
      </c>
      <c r="E14" s="1">
        <f xml:space="preserve"> AVERAGE(B14:D14)</f>
        <v>20.419</v>
      </c>
      <c r="F14" s="1">
        <f xml:space="preserve"> _xlfn.STDEV.S(B14:D14)</f>
        <v>0.92789492939664298</v>
      </c>
      <c r="G14" s="1">
        <f t="shared" si="8"/>
        <v>7.0410344827586204</v>
      </c>
      <c r="H14" s="1">
        <f t="shared" si="8"/>
        <v>0.31996376875746307</v>
      </c>
      <c r="L14" s="1" t="s">
        <v>59</v>
      </c>
      <c r="M14" s="1">
        <f xml:space="preserve"> 9.4213</f>
        <v>9.4213000000000005</v>
      </c>
      <c r="N14" s="1">
        <f xml:space="preserve"> 9.7845</f>
        <v>9.7844999999999995</v>
      </c>
      <c r="O14" s="1">
        <f xml:space="preserve"> 9.5988</f>
        <v>9.5988000000000007</v>
      </c>
      <c r="P14" s="1">
        <f xml:space="preserve"> AVERAGE(M14:O14)</f>
        <v>9.6015333333333341</v>
      </c>
      <c r="Q14" s="1">
        <f xml:space="preserve"> _xlfn.STDEV.S(M14:O14)</f>
        <v>0.18161542702461475</v>
      </c>
      <c r="R14" s="1">
        <f t="shared" si="9"/>
        <v>3.310873563218391</v>
      </c>
      <c r="S14" s="1">
        <f t="shared" si="9"/>
        <v>6.2626009318832679E-2</v>
      </c>
    </row>
    <row r="16" spans="1:19" ht="29" x14ac:dyDescent="0.35">
      <c r="B16" s="1" t="s">
        <v>21</v>
      </c>
      <c r="G16" s="1" t="s">
        <v>12</v>
      </c>
    </row>
    <row r="17" spans="1:19" ht="72.5" x14ac:dyDescent="0.35">
      <c r="A17" s="4" t="s">
        <v>85</v>
      </c>
      <c r="B17" s="1" t="s">
        <v>16</v>
      </c>
      <c r="C17" s="1" t="s">
        <v>17</v>
      </c>
      <c r="D17" s="1" t="s">
        <v>18</v>
      </c>
      <c r="E17" s="1" t="s">
        <v>19</v>
      </c>
      <c r="F17" s="1" t="s">
        <v>20</v>
      </c>
      <c r="G17" s="1" t="s">
        <v>19</v>
      </c>
      <c r="H17" s="1" t="s">
        <v>20</v>
      </c>
    </row>
    <row r="18" spans="1:19" ht="29" x14ac:dyDescent="0.35">
      <c r="A18" s="1" t="s">
        <v>74</v>
      </c>
      <c r="B18" s="1">
        <f xml:space="preserve"> 20.077</f>
        <v>20.077000000000002</v>
      </c>
      <c r="C18" s="1">
        <f xml:space="preserve"> 21.124</f>
        <v>21.123999999999999</v>
      </c>
      <c r="D18" s="1">
        <f xml:space="preserve"> 23.913</f>
        <v>23.913</v>
      </c>
      <c r="E18" s="1">
        <f xml:space="preserve"> AVERAGE(B18:D18)</f>
        <v>21.704666666666668</v>
      </c>
      <c r="F18" s="1">
        <f xml:space="preserve"> _xlfn.STDEV.S(B18:D18)</f>
        <v>1.9828273584286988</v>
      </c>
      <c r="G18" s="1">
        <f t="shared" ref="G18:G20" si="10" xml:space="preserve"> E18/$J$5 * 100</f>
        <v>7.4843678160919538</v>
      </c>
      <c r="H18" s="1">
        <f t="shared" ref="H18:H20" si="11" xml:space="preserve"> F18/$J$5 * 100</f>
        <v>0.68373357187196515</v>
      </c>
    </row>
    <row r="19" spans="1:19" ht="29" x14ac:dyDescent="0.35">
      <c r="A19" s="1" t="s">
        <v>75</v>
      </c>
      <c r="B19" s="1">
        <f xml:space="preserve"> 17.992</f>
        <v>17.992000000000001</v>
      </c>
      <c r="C19" s="1">
        <f xml:space="preserve"> 18.982</f>
        <v>18.981999999999999</v>
      </c>
      <c r="D19" s="1">
        <f xml:space="preserve"> 18.496</f>
        <v>18.495999999999999</v>
      </c>
      <c r="E19" s="1">
        <f xml:space="preserve"> AVERAGE(B19:D19)</f>
        <v>18.489999999999998</v>
      </c>
      <c r="F19" s="1">
        <f xml:space="preserve"> _xlfn.STDEV.S(B19:D19)</f>
        <v>0.4950272719759985</v>
      </c>
      <c r="G19" s="1">
        <f t="shared" si="10"/>
        <v>6.3758620689655165</v>
      </c>
      <c r="H19" s="1">
        <f t="shared" si="11"/>
        <v>0.17069905930206844</v>
      </c>
    </row>
    <row r="20" spans="1:19" ht="29" x14ac:dyDescent="0.35">
      <c r="A20" s="1" t="s">
        <v>76</v>
      </c>
      <c r="E20" s="1" t="e">
        <f xml:space="preserve"> AVERAGE(B20:D20)</f>
        <v>#DIV/0!</v>
      </c>
      <c r="F20" s="1" t="e">
        <f xml:space="preserve"> _xlfn.STDEV.S(B20:D20)</f>
        <v>#DIV/0!</v>
      </c>
      <c r="G20" s="1" t="e">
        <f t="shared" si="10"/>
        <v>#DIV/0!</v>
      </c>
      <c r="H20" s="1" t="e">
        <f t="shared" si="11"/>
        <v>#DIV/0!</v>
      </c>
    </row>
    <row r="22" spans="1:19" ht="29" x14ac:dyDescent="0.35">
      <c r="B22" s="1" t="s">
        <v>21</v>
      </c>
      <c r="G22" s="1" t="s">
        <v>12</v>
      </c>
      <c r="M22" s="1" t="s">
        <v>21</v>
      </c>
      <c r="R22" s="1" t="s">
        <v>12</v>
      </c>
    </row>
    <row r="23" spans="1:19" x14ac:dyDescent="0.35">
      <c r="A23" s="4" t="s">
        <v>23</v>
      </c>
      <c r="B23" s="1" t="s">
        <v>16</v>
      </c>
      <c r="C23" s="1" t="s">
        <v>17</v>
      </c>
      <c r="D23" s="1" t="s">
        <v>18</v>
      </c>
      <c r="E23" s="1" t="s">
        <v>19</v>
      </c>
      <c r="F23" s="1" t="s">
        <v>20</v>
      </c>
      <c r="G23" s="1" t="s">
        <v>19</v>
      </c>
      <c r="H23" s="1" t="s">
        <v>20</v>
      </c>
      <c r="L23" s="4" t="s">
        <v>23</v>
      </c>
      <c r="M23" s="1" t="s">
        <v>16</v>
      </c>
      <c r="N23" s="1" t="s">
        <v>17</v>
      </c>
      <c r="O23" s="1" t="s">
        <v>18</v>
      </c>
      <c r="P23" s="1" t="s">
        <v>19</v>
      </c>
      <c r="Q23" s="1" t="s">
        <v>20</v>
      </c>
      <c r="R23" s="1" t="s">
        <v>19</v>
      </c>
      <c r="S23" s="1" t="s">
        <v>20</v>
      </c>
    </row>
    <row r="24" spans="1:19" ht="29" x14ac:dyDescent="0.35">
      <c r="A24" s="1" t="s">
        <v>48</v>
      </c>
      <c r="B24" s="1">
        <f xml:space="preserve"> 23.572</f>
        <v>23.571999999999999</v>
      </c>
      <c r="C24" s="1">
        <f xml:space="preserve"> 27.662</f>
        <v>27.661999999999999</v>
      </c>
      <c r="D24" s="1">
        <f xml:space="preserve"> 26.697</f>
        <v>26.696999999999999</v>
      </c>
      <c r="E24" s="1">
        <f xml:space="preserve"> AVERAGE(B24:D24)</f>
        <v>25.977</v>
      </c>
      <c r="F24" s="1">
        <f xml:space="preserve"> _xlfn.STDEV.S(B24:D24)</f>
        <v>2.1379487832967374</v>
      </c>
      <c r="G24" s="1">
        <f xml:space="preserve"> E24/$J$5 * 100</f>
        <v>8.9575862068965524</v>
      </c>
      <c r="H24" s="1">
        <f xml:space="preserve"> F24/$J$5 * 100</f>
        <v>0.73722371837818523</v>
      </c>
      <c r="L24" s="1" t="s">
        <v>48</v>
      </c>
      <c r="M24" s="1">
        <f xml:space="preserve"> 11.444</f>
        <v>11.444000000000001</v>
      </c>
      <c r="N24" s="1">
        <f xml:space="preserve"> 11.857</f>
        <v>11.856999999999999</v>
      </c>
      <c r="O24" s="1">
        <f xml:space="preserve"> 11.894</f>
        <v>11.894</v>
      </c>
      <c r="P24" s="1">
        <f xml:space="preserve"> AVERAGE(M24:O24)</f>
        <v>11.731666666666667</v>
      </c>
      <c r="Q24" s="1">
        <f xml:space="preserve"> _xlfn.STDEV.S(M24:O24)</f>
        <v>0.24981259642646733</v>
      </c>
      <c r="R24" s="1">
        <f xml:space="preserve"> P24/$J$5 * 100</f>
        <v>4.0454022988505747</v>
      </c>
      <c r="S24" s="1">
        <f xml:space="preserve"> Q24/$J$5 * 100</f>
        <v>8.6142274629816315E-2</v>
      </c>
    </row>
    <row r="25" spans="1:19" ht="29" x14ac:dyDescent="0.35">
      <c r="A25" s="1" t="s">
        <v>49</v>
      </c>
      <c r="B25" s="1">
        <f xml:space="preserve"> 21.628</f>
        <v>21.628</v>
      </c>
      <c r="C25" s="1">
        <f xml:space="preserve"> 22.143</f>
        <v>22.143000000000001</v>
      </c>
      <c r="D25" s="1">
        <f xml:space="preserve"> 21.984</f>
        <v>21.984000000000002</v>
      </c>
      <c r="E25" s="1">
        <f xml:space="preserve"> AVERAGE(B25:D25)</f>
        <v>21.918333333333333</v>
      </c>
      <c r="F25" s="1">
        <f xml:space="preserve"> _xlfn.STDEV.S(B25:D25)</f>
        <v>0.26370501196096663</v>
      </c>
      <c r="G25" s="1">
        <f xml:space="preserve"> E25/$J$5 * 100</f>
        <v>7.5580459770114947</v>
      </c>
      <c r="H25" s="1">
        <f xml:space="preserve"> F25/$J$5 * 100</f>
        <v>9.0932762745160906E-2</v>
      </c>
      <c r="L25" s="1" t="s">
        <v>49</v>
      </c>
      <c r="M25" s="1">
        <f xml:space="preserve"> 9.4198</f>
        <v>9.4198000000000004</v>
      </c>
      <c r="N25" s="1">
        <f xml:space="preserve"> 9.5279</f>
        <v>9.5279000000000007</v>
      </c>
      <c r="O25" s="1">
        <f xml:space="preserve"> 9.4697</f>
        <v>9.4696999999999996</v>
      </c>
      <c r="P25" s="1">
        <f xml:space="preserve"> AVERAGE(M25:O25)</f>
        <v>9.4724666666666675</v>
      </c>
      <c r="Q25" s="1">
        <f xml:space="preserve"> _xlfn.STDEV.S(M25:O25)</f>
        <v>5.4103080627015618E-2</v>
      </c>
      <c r="R25" s="1">
        <f xml:space="preserve"> P25/$J$5 * 100</f>
        <v>3.2663678160919543</v>
      </c>
      <c r="S25" s="1">
        <f xml:space="preserve"> Q25/$J$5 * 100</f>
        <v>1.8656234698970903E-2</v>
      </c>
    </row>
    <row r="27" spans="1:19" ht="29" x14ac:dyDescent="0.35">
      <c r="B27" s="1" t="s">
        <v>21</v>
      </c>
      <c r="G27" s="1" t="s">
        <v>12</v>
      </c>
      <c r="M27" s="1" t="s">
        <v>21</v>
      </c>
      <c r="R27" s="1" t="s">
        <v>12</v>
      </c>
    </row>
    <row r="28" spans="1:19" x14ac:dyDescent="0.35">
      <c r="A28" s="4" t="s">
        <v>24</v>
      </c>
      <c r="B28" s="1" t="s">
        <v>16</v>
      </c>
      <c r="C28" s="1" t="s">
        <v>17</v>
      </c>
      <c r="D28" s="1" t="s">
        <v>18</v>
      </c>
      <c r="E28" s="1" t="s">
        <v>19</v>
      </c>
      <c r="F28" s="1" t="s">
        <v>20</v>
      </c>
      <c r="G28" s="1" t="s">
        <v>19</v>
      </c>
      <c r="H28" s="1" t="s">
        <v>20</v>
      </c>
      <c r="L28" s="4" t="s">
        <v>24</v>
      </c>
      <c r="M28" s="1" t="s">
        <v>16</v>
      </c>
      <c r="N28" s="1" t="s">
        <v>17</v>
      </c>
      <c r="O28" s="1" t="s">
        <v>18</v>
      </c>
      <c r="P28" s="1" t="s">
        <v>19</v>
      </c>
      <c r="Q28" s="1" t="s">
        <v>20</v>
      </c>
      <c r="R28" s="1" t="s">
        <v>19</v>
      </c>
      <c r="S28" s="1" t="s">
        <v>20</v>
      </c>
    </row>
    <row r="29" spans="1:19" ht="29" x14ac:dyDescent="0.35">
      <c r="A29" s="1" t="s">
        <v>29</v>
      </c>
      <c r="B29" s="1">
        <f xml:space="preserve"> 25.312</f>
        <v>25.312000000000001</v>
      </c>
      <c r="C29" s="1">
        <f xml:space="preserve"> 26.222</f>
        <v>26.222000000000001</v>
      </c>
      <c r="D29" s="1">
        <f xml:space="preserve"> 26.329</f>
        <v>26.329000000000001</v>
      </c>
      <c r="E29" s="1">
        <f xml:space="preserve"> AVERAGE(B29:D29)</f>
        <v>25.954333333333334</v>
      </c>
      <c r="F29" s="1">
        <f xml:space="preserve"> _xlfn.STDEV.S(B29:D29)</f>
        <v>0.55884374679630544</v>
      </c>
      <c r="G29" s="1">
        <f xml:space="preserve"> E29/$J$5 * 100</f>
        <v>8.9497701149425293</v>
      </c>
      <c r="H29" s="1">
        <f xml:space="preserve"> F29/$J$5 * 100</f>
        <v>0.19270474027458809</v>
      </c>
      <c r="L29" s="1" t="s">
        <v>29</v>
      </c>
      <c r="M29" s="1">
        <f xml:space="preserve"> 11.321</f>
        <v>11.321</v>
      </c>
      <c r="N29" s="1">
        <f xml:space="preserve"> 11.868</f>
        <v>11.868</v>
      </c>
      <c r="O29" s="1">
        <f xml:space="preserve"> 11.682</f>
        <v>11.682</v>
      </c>
      <c r="P29" s="1">
        <f xml:space="preserve"> AVERAGE(M29:O29)</f>
        <v>11.623666666666667</v>
      </c>
      <c r="Q29" s="1">
        <f xml:space="preserve"> _xlfn.STDEV.S(M29:O29)</f>
        <v>0.27812647003356861</v>
      </c>
      <c r="R29" s="1">
        <f xml:space="preserve"> P29/$J$5 * 100</f>
        <v>4.0081609195402299</v>
      </c>
      <c r="S29" s="1">
        <f xml:space="preserve"> Q29/$J$5 * 100</f>
        <v>9.590567932192022E-2</v>
      </c>
    </row>
    <row r="30" spans="1:19" ht="29" x14ac:dyDescent="0.35">
      <c r="A30" s="1" t="s">
        <v>30</v>
      </c>
      <c r="B30" s="1">
        <f xml:space="preserve"> 24.835</f>
        <v>24.835000000000001</v>
      </c>
      <c r="C30" s="1">
        <f xml:space="preserve"> 24.117</f>
        <v>24.117000000000001</v>
      </c>
      <c r="D30" s="1">
        <f xml:space="preserve"> 24.999</f>
        <v>24.998999999999999</v>
      </c>
      <c r="E30" s="1">
        <f t="shared" ref="E30:E34" si="12" xml:space="preserve"> AVERAGE(B30:D30)</f>
        <v>24.650333333333332</v>
      </c>
      <c r="F30" s="1">
        <f t="shared" ref="F30:F34" si="13" xml:space="preserve"> _xlfn.STDEV.S(B30:D30)</f>
        <v>0.46910268953964929</v>
      </c>
      <c r="G30" s="1">
        <f t="shared" ref="G30:G34" si="14" xml:space="preserve"> E30/$J$5 * 100</f>
        <v>8.5001149425287359</v>
      </c>
      <c r="H30" s="1">
        <f t="shared" ref="H30:H34" si="15" xml:space="preserve"> F30/$J$5 * 100</f>
        <v>0.16175954811712046</v>
      </c>
      <c r="L30" s="1" t="s">
        <v>30</v>
      </c>
      <c r="M30" s="1">
        <f xml:space="preserve"> 11.933</f>
        <v>11.933</v>
      </c>
      <c r="N30" s="1">
        <f xml:space="preserve"> 11.106</f>
        <v>11.106</v>
      </c>
      <c r="O30" s="1">
        <f xml:space="preserve"> 11.826</f>
        <v>11.826000000000001</v>
      </c>
      <c r="P30" s="1">
        <f t="shared" ref="P30:P34" si="16" xml:space="preserve"> AVERAGE(M30:O30)</f>
        <v>11.621666666666668</v>
      </c>
      <c r="Q30" s="1">
        <f t="shared" ref="Q30:Q34" si="17" xml:space="preserve"> _xlfn.STDEV.S(M30:O30)</f>
        <v>0.44977364677505666</v>
      </c>
      <c r="R30" s="1">
        <f t="shared" ref="R30:R34" si="18" xml:space="preserve"> P30/$J$5 * 100</f>
        <v>4.0074712643678163</v>
      </c>
      <c r="S30" s="1">
        <f t="shared" ref="S30:S34" si="19" xml:space="preserve"> Q30/$J$5 * 100</f>
        <v>0.15509436095691609</v>
      </c>
    </row>
    <row r="31" spans="1:19" ht="29" x14ac:dyDescent="0.35">
      <c r="A31" s="1" t="s">
        <v>31</v>
      </c>
      <c r="B31" s="1">
        <f xml:space="preserve"> 21.444</f>
        <v>21.443999999999999</v>
      </c>
      <c r="C31" s="1">
        <f xml:space="preserve"> 20.767</f>
        <v>20.766999999999999</v>
      </c>
      <c r="D31" s="1">
        <f xml:space="preserve"> 21.481</f>
        <v>21.481000000000002</v>
      </c>
      <c r="E31" s="1">
        <f t="shared" si="12"/>
        <v>21.230666666666668</v>
      </c>
      <c r="F31" s="1">
        <f t="shared" si="13"/>
        <v>0.40197305050629178</v>
      </c>
      <c r="G31" s="1">
        <f t="shared" si="14"/>
        <v>7.3209195402298848</v>
      </c>
      <c r="H31" s="1">
        <f t="shared" si="15"/>
        <v>0.13861139672630751</v>
      </c>
      <c r="L31" s="1" t="s">
        <v>31</v>
      </c>
      <c r="M31" s="1">
        <f xml:space="preserve"> 9.5401</f>
        <v>9.5401000000000007</v>
      </c>
      <c r="N31" s="1">
        <f xml:space="preserve"> 9.5248</f>
        <v>9.5248000000000008</v>
      </c>
      <c r="O31" s="1">
        <f xml:space="preserve"> 9.5092</f>
        <v>9.5091999999999999</v>
      </c>
      <c r="P31" s="1">
        <f t="shared" si="16"/>
        <v>9.5247000000000011</v>
      </c>
      <c r="Q31" s="1">
        <f t="shared" si="17"/>
        <v>1.5450242716540497E-2</v>
      </c>
      <c r="R31" s="1">
        <f t="shared" si="18"/>
        <v>3.284379310344828</v>
      </c>
      <c r="S31" s="1">
        <f t="shared" si="19"/>
        <v>5.3276699022553435E-3</v>
      </c>
    </row>
    <row r="32" spans="1:19" ht="29" x14ac:dyDescent="0.35">
      <c r="A32" s="1" t="s">
        <v>32</v>
      </c>
      <c r="B32" s="1">
        <f xml:space="preserve"> 20.334</f>
        <v>20.334</v>
      </c>
      <c r="C32" s="1">
        <f xml:space="preserve"> 19.884</f>
        <v>19.884</v>
      </c>
      <c r="D32" s="1">
        <f xml:space="preserve"> 21.26</f>
        <v>21.26</v>
      </c>
      <c r="E32" s="1">
        <f t="shared" si="12"/>
        <v>20.492666666666668</v>
      </c>
      <c r="F32" s="1">
        <f t="shared" si="13"/>
        <v>0.70158772319171492</v>
      </c>
      <c r="G32" s="1">
        <f t="shared" si="14"/>
        <v>7.0664367816091964</v>
      </c>
      <c r="H32" s="1">
        <f t="shared" si="15"/>
        <v>0.24192680110059137</v>
      </c>
      <c r="L32" s="1" t="s">
        <v>32</v>
      </c>
      <c r="M32" s="1">
        <f xml:space="preserve"> 9.6506</f>
        <v>9.6506000000000007</v>
      </c>
      <c r="N32" s="1">
        <f xml:space="preserve"> 9.3943</f>
        <v>9.3942999999999994</v>
      </c>
      <c r="O32" s="1">
        <f xml:space="preserve"> 9.8771</f>
        <v>9.8771000000000004</v>
      </c>
      <c r="P32" s="1">
        <f t="shared" si="16"/>
        <v>9.6406666666666663</v>
      </c>
      <c r="Q32" s="1">
        <f t="shared" si="17"/>
        <v>0.24155323084846864</v>
      </c>
      <c r="R32" s="1">
        <f t="shared" si="18"/>
        <v>3.3243678160919541</v>
      </c>
      <c r="S32" s="1">
        <f t="shared" si="19"/>
        <v>8.3294217533954704E-2</v>
      </c>
    </row>
    <row r="33" spans="1:19" ht="29" x14ac:dyDescent="0.35">
      <c r="A33" s="1" t="s">
        <v>33</v>
      </c>
      <c r="B33" s="1">
        <f xml:space="preserve"> 18.297</f>
        <v>18.297000000000001</v>
      </c>
      <c r="C33" s="1">
        <f xml:space="preserve"> 19.172</f>
        <v>19.172000000000001</v>
      </c>
      <c r="D33" s="1">
        <f xml:space="preserve"> 19.896</f>
        <v>19.896000000000001</v>
      </c>
      <c r="E33" s="1">
        <f t="shared" si="12"/>
        <v>19.121666666666666</v>
      </c>
      <c r="F33" s="1">
        <f t="shared" si="13"/>
        <v>0.80068741299793988</v>
      </c>
      <c r="G33" s="1">
        <f t="shared" si="14"/>
        <v>6.5936781609195405</v>
      </c>
      <c r="H33" s="1">
        <f t="shared" si="15"/>
        <v>0.27609910793032411</v>
      </c>
      <c r="L33" s="1" t="s">
        <v>33</v>
      </c>
      <c r="M33" s="1">
        <f xml:space="preserve"> 9.722</f>
        <v>9.7219999999999995</v>
      </c>
      <c r="N33" s="1">
        <f xml:space="preserve"> 9.9177</f>
        <v>9.9177</v>
      </c>
      <c r="O33" s="1">
        <f xml:space="preserve"> 9.8412</f>
        <v>9.8412000000000006</v>
      </c>
      <c r="P33" s="1">
        <f t="shared" si="16"/>
        <v>9.8269666666666655</v>
      </c>
      <c r="Q33" s="1">
        <f t="shared" si="17"/>
        <v>9.8623340712700402E-2</v>
      </c>
      <c r="R33" s="1">
        <f t="shared" si="18"/>
        <v>3.3886091954022985</v>
      </c>
      <c r="S33" s="1">
        <f t="shared" si="19"/>
        <v>3.4008048521620829E-2</v>
      </c>
    </row>
    <row r="34" spans="1:19" ht="29" x14ac:dyDescent="0.35">
      <c r="A34" s="1" t="s">
        <v>34</v>
      </c>
      <c r="B34" s="1">
        <f xml:space="preserve"> 20.703</f>
        <v>20.702999999999999</v>
      </c>
      <c r="C34" s="1">
        <f xml:space="preserve"> 19.05</f>
        <v>19.05</v>
      </c>
      <c r="D34" s="1">
        <f xml:space="preserve"> 18.822</f>
        <v>18.821999999999999</v>
      </c>
      <c r="E34" s="1">
        <f t="shared" si="12"/>
        <v>19.525000000000002</v>
      </c>
      <c r="F34" s="1">
        <f t="shared" si="13"/>
        <v>1.0265276421022473</v>
      </c>
      <c r="G34" s="1">
        <f t="shared" si="14"/>
        <v>6.7327586206896566</v>
      </c>
      <c r="H34" s="1">
        <f t="shared" si="15"/>
        <v>0.35397504900077498</v>
      </c>
      <c r="L34" s="1" t="s">
        <v>34</v>
      </c>
      <c r="M34" s="1">
        <f xml:space="preserve"> 10.292</f>
        <v>10.292</v>
      </c>
      <c r="N34" s="1">
        <f xml:space="preserve"> 9.9012</f>
        <v>9.9011999999999993</v>
      </c>
      <c r="O34" s="1">
        <f xml:space="preserve"> 10.241</f>
        <v>10.241</v>
      </c>
      <c r="P34" s="1">
        <f t="shared" si="16"/>
        <v>10.144733333333333</v>
      </c>
      <c r="Q34" s="1">
        <f t="shared" si="17"/>
        <v>0.21244202346365806</v>
      </c>
      <c r="R34" s="1">
        <f t="shared" si="18"/>
        <v>3.4981839080459771</v>
      </c>
      <c r="S34" s="1">
        <f t="shared" si="19"/>
        <v>7.3255870159882094E-2</v>
      </c>
    </row>
    <row r="36" spans="1:19" ht="29" x14ac:dyDescent="0.35">
      <c r="B36" s="1" t="s">
        <v>21</v>
      </c>
      <c r="G36" s="1" t="s">
        <v>12</v>
      </c>
      <c r="M36" s="1" t="s">
        <v>21</v>
      </c>
      <c r="R36" s="1" t="s">
        <v>12</v>
      </c>
    </row>
    <row r="37" spans="1:19" x14ac:dyDescent="0.35">
      <c r="A37" s="4" t="s">
        <v>28</v>
      </c>
      <c r="B37" s="1" t="s">
        <v>16</v>
      </c>
      <c r="C37" s="1" t="s">
        <v>17</v>
      </c>
      <c r="D37" s="1" t="s">
        <v>18</v>
      </c>
      <c r="E37" s="1" t="s">
        <v>19</v>
      </c>
      <c r="F37" s="1" t="s">
        <v>20</v>
      </c>
      <c r="G37" s="1" t="s">
        <v>19</v>
      </c>
      <c r="H37" s="1" t="s">
        <v>20</v>
      </c>
      <c r="L37" s="4" t="s">
        <v>28</v>
      </c>
      <c r="M37" s="1" t="s">
        <v>16</v>
      </c>
      <c r="N37" s="1" t="s">
        <v>17</v>
      </c>
      <c r="O37" s="1" t="s">
        <v>18</v>
      </c>
      <c r="P37" s="1" t="s">
        <v>19</v>
      </c>
      <c r="Q37" s="1" t="s">
        <v>20</v>
      </c>
      <c r="R37" s="1" t="s">
        <v>19</v>
      </c>
      <c r="S37" s="1" t="s">
        <v>20</v>
      </c>
    </row>
    <row r="38" spans="1:19" ht="29" x14ac:dyDescent="0.35">
      <c r="A38" s="1" t="s">
        <v>35</v>
      </c>
      <c r="B38" s="1">
        <f xml:space="preserve"> 23.94</f>
        <v>23.94</v>
      </c>
      <c r="C38" s="1">
        <f xml:space="preserve"> 26.387</f>
        <v>26.387</v>
      </c>
      <c r="D38" s="1">
        <f xml:space="preserve"> 25.207</f>
        <v>25.207000000000001</v>
      </c>
      <c r="E38" s="1">
        <f xml:space="preserve"> AVERAGE(B38:D38)</f>
        <v>25.177999999999997</v>
      </c>
      <c r="F38" s="1">
        <f xml:space="preserve"> _xlfn.STDEV.S(B38:D38)</f>
        <v>1.2237577374627706</v>
      </c>
      <c r="G38" s="1">
        <f xml:space="preserve"> E38/$J$5 * 100</f>
        <v>8.6820689655172405</v>
      </c>
      <c r="H38" s="1">
        <f xml:space="preserve"> F38/$J$5 * 100</f>
        <v>0.42198542671130024</v>
      </c>
      <c r="L38" s="1" t="s">
        <v>35</v>
      </c>
      <c r="M38" s="1">
        <f xml:space="preserve"> 11.959</f>
        <v>11.959</v>
      </c>
      <c r="N38" s="1">
        <f xml:space="preserve"> 11.281</f>
        <v>11.281000000000001</v>
      </c>
      <c r="O38" s="1">
        <f xml:space="preserve"> 11.889</f>
        <v>11.888999999999999</v>
      </c>
      <c r="P38" s="1">
        <f xml:space="preserve"> AVERAGE(M38:O38)</f>
        <v>11.709666666666669</v>
      </c>
      <c r="Q38" s="1">
        <f xml:space="preserve"> _xlfn.STDEV.S(M38:O38)</f>
        <v>0.37288246584323709</v>
      </c>
      <c r="R38" s="1">
        <f xml:space="preserve"> P38/$J$5 * 100</f>
        <v>4.0378160919540242</v>
      </c>
      <c r="S38" s="1">
        <f xml:space="preserve"> Q38/$J$5 * 100</f>
        <v>0.12858016063559899</v>
      </c>
    </row>
    <row r="39" spans="1:19" ht="29" x14ac:dyDescent="0.35">
      <c r="A39" s="1" t="s">
        <v>36</v>
      </c>
      <c r="B39" s="1">
        <f xml:space="preserve"> 21.349</f>
        <v>21.349</v>
      </c>
      <c r="C39" s="1">
        <f xml:space="preserve"> 23.912</f>
        <v>23.911999999999999</v>
      </c>
      <c r="D39" s="1">
        <f xml:space="preserve"> 23.666</f>
        <v>23.666</v>
      </c>
      <c r="E39" s="1">
        <f t="shared" ref="E39:E43" si="20" xml:space="preserve"> AVERAGE(B39:D39)</f>
        <v>22.975666666666665</v>
      </c>
      <c r="F39" s="1">
        <f t="shared" ref="F39:F43" si="21" xml:space="preserve"> _xlfn.STDEV.S(B39:D39)</f>
        <v>1.4140941741388133</v>
      </c>
      <c r="G39" s="1">
        <f t="shared" ref="G39:G43" si="22" xml:space="preserve"> E39/$J$5 * 100</f>
        <v>7.9226436781609193</v>
      </c>
      <c r="H39" s="1">
        <f t="shared" ref="H39:H43" si="23" xml:space="preserve"> F39/$J$5 * 100</f>
        <v>0.48761868073752179</v>
      </c>
      <c r="L39" s="1" t="s">
        <v>36</v>
      </c>
      <c r="M39" s="1">
        <f xml:space="preserve"> 11.433</f>
        <v>11.433</v>
      </c>
      <c r="N39" s="1">
        <f xml:space="preserve"> 11.303</f>
        <v>11.303000000000001</v>
      </c>
      <c r="O39" s="1">
        <f xml:space="preserve"> 11.714</f>
        <v>11.714</v>
      </c>
      <c r="P39" s="1">
        <f t="shared" ref="P39:P43" si="24" xml:space="preserve"> AVERAGE(M39:O39)</f>
        <v>11.483333333333334</v>
      </c>
      <c r="Q39" s="1">
        <f t="shared" ref="Q39:Q43" si="25" xml:space="preserve"> _xlfn.STDEV.S(M39:O39)</f>
        <v>0.21007220980732622</v>
      </c>
      <c r="R39" s="1">
        <f t="shared" ref="R39:R43" si="26" xml:space="preserve"> P39/$J$5 * 100</f>
        <v>3.9597701149425291</v>
      </c>
      <c r="S39" s="1">
        <f t="shared" ref="S39:S43" si="27" xml:space="preserve"> Q39/$J$5 * 100</f>
        <v>7.2438693037009033E-2</v>
      </c>
    </row>
    <row r="40" spans="1:19" ht="29" x14ac:dyDescent="0.35">
      <c r="A40" s="1" t="s">
        <v>37</v>
      </c>
      <c r="B40" s="1">
        <f xml:space="preserve"> 21.51</f>
        <v>21.51</v>
      </c>
      <c r="C40" s="1">
        <f xml:space="preserve"> 21.209</f>
        <v>21.209</v>
      </c>
      <c r="D40" s="1">
        <f xml:space="preserve"> 22.47</f>
        <v>22.47</v>
      </c>
      <c r="E40" s="1">
        <f t="shared" si="20"/>
        <v>21.729666666666663</v>
      </c>
      <c r="F40" s="1">
        <f t="shared" si="21"/>
        <v>0.65857447060551344</v>
      </c>
      <c r="G40" s="1">
        <f t="shared" si="22"/>
        <v>7.4929885057471255</v>
      </c>
      <c r="H40" s="1">
        <f t="shared" si="23"/>
        <v>0.22709464503638394</v>
      </c>
      <c r="L40" s="1" t="s">
        <v>37</v>
      </c>
      <c r="M40" s="1">
        <f xml:space="preserve"> 9.6078</f>
        <v>9.6077999999999992</v>
      </c>
      <c r="N40" s="1">
        <f xml:space="preserve"> 9.7742</f>
        <v>9.7742000000000004</v>
      </c>
      <c r="O40" s="1">
        <f xml:space="preserve"> 9.8399</f>
        <v>9.8399000000000001</v>
      </c>
      <c r="P40" s="1">
        <f t="shared" si="24"/>
        <v>9.7406333333333333</v>
      </c>
      <c r="Q40" s="1">
        <f t="shared" si="25"/>
        <v>0.11963546018356538</v>
      </c>
      <c r="R40" s="1">
        <f t="shared" si="26"/>
        <v>3.3588390804597705</v>
      </c>
      <c r="S40" s="1">
        <f t="shared" si="27"/>
        <v>4.1253606959850128E-2</v>
      </c>
    </row>
    <row r="41" spans="1:19" ht="29" x14ac:dyDescent="0.35">
      <c r="A41" s="1" t="s">
        <v>38</v>
      </c>
      <c r="B41" s="1">
        <f xml:space="preserve"> 19.243</f>
        <v>19.242999999999999</v>
      </c>
      <c r="C41" s="1">
        <f xml:space="preserve"> 18.997</f>
        <v>18.997</v>
      </c>
      <c r="D41" s="1">
        <f xml:space="preserve"> 19.845</f>
        <v>19.844999999999999</v>
      </c>
      <c r="E41" s="1">
        <f t="shared" si="20"/>
        <v>19.361666666666665</v>
      </c>
      <c r="F41" s="1">
        <f t="shared" si="21"/>
        <v>0.43627667062694631</v>
      </c>
      <c r="G41" s="1">
        <f t="shared" si="22"/>
        <v>6.676436781609195</v>
      </c>
      <c r="H41" s="1">
        <f t="shared" si="23"/>
        <v>0.15044023125067113</v>
      </c>
      <c r="L41" s="1" t="s">
        <v>38</v>
      </c>
      <c r="M41" s="1">
        <f xml:space="preserve"> 9.498</f>
        <v>9.4979999999999993</v>
      </c>
      <c r="N41" s="1">
        <f xml:space="preserve"> 9.3872</f>
        <v>9.3872</v>
      </c>
      <c r="O41" s="1">
        <f xml:space="preserve"> 9.4601</f>
        <v>9.4601000000000006</v>
      </c>
      <c r="P41" s="1">
        <f t="shared" si="24"/>
        <v>9.4484333333333321</v>
      </c>
      <c r="Q41" s="1">
        <f t="shared" si="25"/>
        <v>5.6313793455363206E-2</v>
      </c>
      <c r="R41" s="1">
        <f t="shared" si="26"/>
        <v>3.2580804597701145</v>
      </c>
      <c r="S41" s="1">
        <f t="shared" si="27"/>
        <v>1.9418549467366621E-2</v>
      </c>
    </row>
    <row r="42" spans="1:19" ht="29" x14ac:dyDescent="0.35">
      <c r="A42" s="1" t="s">
        <v>39</v>
      </c>
      <c r="B42" s="1">
        <f xml:space="preserve"> 19.017</f>
        <v>19.016999999999999</v>
      </c>
      <c r="C42" s="1">
        <f xml:space="preserve"> 18.393</f>
        <v>18.393000000000001</v>
      </c>
      <c r="D42" s="1">
        <f xml:space="preserve"> 18.636</f>
        <v>18.635999999999999</v>
      </c>
      <c r="E42" s="1">
        <f t="shared" si="20"/>
        <v>18.681999999999999</v>
      </c>
      <c r="F42" s="1">
        <f t="shared" si="21"/>
        <v>0.31453298714125305</v>
      </c>
      <c r="G42" s="1">
        <f t="shared" si="22"/>
        <v>6.4420689655172403</v>
      </c>
      <c r="H42" s="1">
        <f t="shared" si="23"/>
        <v>0.10845965073836311</v>
      </c>
      <c r="L42" s="1" t="s">
        <v>39</v>
      </c>
      <c r="M42" s="1">
        <f xml:space="preserve"> 9.7643</f>
        <v>9.7643000000000004</v>
      </c>
      <c r="N42" s="1">
        <f xml:space="preserve"> 9.7081</f>
        <v>9.7081</v>
      </c>
      <c r="O42" s="1">
        <f xml:space="preserve"> 9.6797</f>
        <v>9.6797000000000004</v>
      </c>
      <c r="P42" s="1">
        <f t="shared" si="24"/>
        <v>9.7173666666666669</v>
      </c>
      <c r="Q42" s="1">
        <f t="shared" si="25"/>
        <v>4.3054539056101133E-2</v>
      </c>
      <c r="R42" s="1">
        <f t="shared" si="26"/>
        <v>3.3508160919540231</v>
      </c>
      <c r="S42" s="1">
        <f t="shared" si="27"/>
        <v>1.4846392777965909E-2</v>
      </c>
    </row>
    <row r="43" spans="1:19" ht="29" x14ac:dyDescent="0.35">
      <c r="A43" s="1" t="s">
        <v>40</v>
      </c>
      <c r="B43" s="1">
        <f xml:space="preserve"> 18.578</f>
        <v>18.577999999999999</v>
      </c>
      <c r="C43" s="1">
        <f xml:space="preserve"> 17.948</f>
        <v>17.948</v>
      </c>
      <c r="D43" s="1">
        <f xml:space="preserve"> 19.167</f>
        <v>19.167000000000002</v>
      </c>
      <c r="E43" s="1">
        <f t="shared" si="20"/>
        <v>18.564333333333334</v>
      </c>
      <c r="F43" s="1">
        <f t="shared" si="21"/>
        <v>0.60961490576702115</v>
      </c>
      <c r="G43" s="1">
        <f t="shared" si="22"/>
        <v>6.4014942528735634</v>
      </c>
      <c r="H43" s="1">
        <f t="shared" si="23"/>
        <v>0.21021203647138662</v>
      </c>
      <c r="L43" s="1" t="s">
        <v>40</v>
      </c>
      <c r="M43" s="1">
        <f xml:space="preserve"> 9.6933</f>
        <v>9.6933000000000007</v>
      </c>
      <c r="N43" s="1">
        <f xml:space="preserve"> 9.3222</f>
        <v>9.3222000000000005</v>
      </c>
      <c r="O43" s="1">
        <f xml:space="preserve"> 9.4376</f>
        <v>9.4375999999999998</v>
      </c>
      <c r="P43" s="1">
        <f t="shared" si="24"/>
        <v>9.4843666666666682</v>
      </c>
      <c r="Q43" s="1">
        <f t="shared" si="25"/>
        <v>0.1899187808862868</v>
      </c>
      <c r="R43" s="1">
        <f t="shared" si="26"/>
        <v>3.2704712643678162</v>
      </c>
      <c r="S43" s="1">
        <f t="shared" si="27"/>
        <v>6.5489234788374762E-2</v>
      </c>
    </row>
    <row r="46" spans="1:19" ht="29" x14ac:dyDescent="0.35">
      <c r="B46" s="1" t="s">
        <v>21</v>
      </c>
      <c r="G46" s="1" t="s">
        <v>12</v>
      </c>
      <c r="M46" s="1" t="s">
        <v>21</v>
      </c>
      <c r="R46" s="1" t="s">
        <v>12</v>
      </c>
    </row>
    <row r="47" spans="1:19" x14ac:dyDescent="0.35">
      <c r="A47" s="4" t="s">
        <v>50</v>
      </c>
      <c r="B47" s="1" t="s">
        <v>16</v>
      </c>
      <c r="C47" s="1" t="s">
        <v>17</v>
      </c>
      <c r="D47" s="1" t="s">
        <v>18</v>
      </c>
      <c r="E47" s="1" t="s">
        <v>19</v>
      </c>
      <c r="F47" s="1" t="s">
        <v>20</v>
      </c>
      <c r="G47" s="1" t="s">
        <v>19</v>
      </c>
      <c r="H47" s="1" t="s">
        <v>20</v>
      </c>
      <c r="L47" s="4" t="s">
        <v>50</v>
      </c>
      <c r="M47" s="1" t="s">
        <v>16</v>
      </c>
      <c r="N47" s="1" t="s">
        <v>17</v>
      </c>
      <c r="O47" s="1" t="s">
        <v>18</v>
      </c>
      <c r="P47" s="1" t="s">
        <v>19</v>
      </c>
      <c r="Q47" s="1" t="s">
        <v>20</v>
      </c>
      <c r="R47" s="1" t="s">
        <v>19</v>
      </c>
      <c r="S47" s="1" t="s">
        <v>20</v>
      </c>
    </row>
    <row r="48" spans="1:19" ht="29" x14ac:dyDescent="0.35">
      <c r="A48" s="1" t="s">
        <v>51</v>
      </c>
      <c r="B48" s="1">
        <f xml:space="preserve"> 23.383</f>
        <v>23.382999999999999</v>
      </c>
      <c r="C48" s="1">
        <f xml:space="preserve"> 22.278</f>
        <v>22.277999999999999</v>
      </c>
      <c r="D48" s="1">
        <f xml:space="preserve"> 22.568</f>
        <v>22.568000000000001</v>
      </c>
      <c r="E48" s="1">
        <f xml:space="preserve"> AVERAGE(B48:D48)</f>
        <v>22.742999999999999</v>
      </c>
      <c r="F48" s="1">
        <f xml:space="preserve"> _xlfn.STDEV.S(B48:D48)</f>
        <v>0.5729092423761375</v>
      </c>
      <c r="G48" s="1">
        <f xml:space="preserve"> E48/$J$5 * 100</f>
        <v>7.8424137931034474</v>
      </c>
      <c r="H48" s="1">
        <f xml:space="preserve"> F48/$J$5 * 100</f>
        <v>0.19755491116418533</v>
      </c>
      <c r="L48" s="1" t="s">
        <v>51</v>
      </c>
      <c r="M48" s="1">
        <f xml:space="preserve"> 11.671</f>
        <v>11.670999999999999</v>
      </c>
      <c r="N48" s="1">
        <f xml:space="preserve"> 11.468</f>
        <v>11.468</v>
      </c>
      <c r="O48" s="1">
        <f xml:space="preserve"> 11.619</f>
        <v>11.619</v>
      </c>
      <c r="P48" s="1">
        <f xml:space="preserve"> AVERAGE(M48:O48)</f>
        <v>11.585999999999999</v>
      </c>
      <c r="Q48" s="1">
        <f xml:space="preserve"> _xlfn.STDEV.S(M48:O48)</f>
        <v>0.10544666898484724</v>
      </c>
      <c r="R48" s="1">
        <f xml:space="preserve"> P48/$J$5 * 100</f>
        <v>3.9951724137931031</v>
      </c>
      <c r="S48" s="1">
        <f xml:space="preserve"> Q48/$J$5 * 100</f>
        <v>3.6360920339602497E-2</v>
      </c>
    </row>
    <row r="49" spans="1:19" ht="29" x14ac:dyDescent="0.35">
      <c r="A49" s="1" t="s">
        <v>52</v>
      </c>
      <c r="B49" s="1">
        <f xml:space="preserve"> 21.802</f>
        <v>21.802</v>
      </c>
      <c r="C49" s="1">
        <f xml:space="preserve"> 23.036</f>
        <v>23.036000000000001</v>
      </c>
      <c r="D49" s="1">
        <f xml:space="preserve"> 24.325</f>
        <v>24.324999999999999</v>
      </c>
      <c r="E49" s="1">
        <f t="shared" ref="E49:E53" si="28" xml:space="preserve"> AVERAGE(B49:D49)</f>
        <v>23.054333333333332</v>
      </c>
      <c r="F49" s="1">
        <f t="shared" ref="F49:F53" si="29" xml:space="preserve"> _xlfn.STDEV.S(B49:D49)</f>
        <v>1.2615999101669804</v>
      </c>
      <c r="G49" s="1">
        <f t="shared" ref="G49:G53" si="30" xml:space="preserve"> E49/$J$5 * 100</f>
        <v>7.9497701149425284</v>
      </c>
      <c r="H49" s="1">
        <f t="shared" ref="H49:H53" si="31" xml:space="preserve"> F49/$J$5 * 100</f>
        <v>0.43503445178171735</v>
      </c>
      <c r="L49" s="1" t="s">
        <v>52</v>
      </c>
      <c r="M49" s="1">
        <f xml:space="preserve"> 11.869</f>
        <v>11.869</v>
      </c>
      <c r="N49" s="1">
        <f xml:space="preserve"> 11.83</f>
        <v>11.83</v>
      </c>
      <c r="O49" s="1">
        <f xml:space="preserve"> 11.928</f>
        <v>11.928000000000001</v>
      </c>
      <c r="P49" s="1">
        <f t="shared" ref="P49:P53" si="32" xml:space="preserve"> AVERAGE(M49:O49)</f>
        <v>11.875666666666666</v>
      </c>
      <c r="Q49" s="1">
        <f t="shared" ref="Q49:Q53" si="33" xml:space="preserve"> _xlfn.STDEV.S(M49:O49)</f>
        <v>4.9338963642676717E-2</v>
      </c>
      <c r="R49" s="1">
        <f t="shared" ref="R49:R53" si="34" xml:space="preserve"> P49/$J$5 * 100</f>
        <v>4.0950574712643677</v>
      </c>
      <c r="S49" s="1">
        <f t="shared" ref="S49:S53" si="35" xml:space="preserve"> Q49/$J$5 * 100</f>
        <v>1.7013435738854041E-2</v>
      </c>
    </row>
    <row r="50" spans="1:19" ht="29" x14ac:dyDescent="0.35">
      <c r="A50" s="1" t="s">
        <v>53</v>
      </c>
      <c r="B50" s="1">
        <f xml:space="preserve"> 20.798</f>
        <v>20.797999999999998</v>
      </c>
      <c r="C50" s="1">
        <f xml:space="preserve"> 20.004</f>
        <v>20.004000000000001</v>
      </c>
      <c r="D50" s="1">
        <f xml:space="preserve"> 21.791</f>
        <v>21.791</v>
      </c>
      <c r="E50" s="1">
        <f t="shared" si="28"/>
        <v>20.864333333333335</v>
      </c>
      <c r="F50" s="1">
        <f t="shared" si="29"/>
        <v>0.89534481253499909</v>
      </c>
      <c r="G50" s="1">
        <f t="shared" si="30"/>
        <v>7.1945977011494255</v>
      </c>
      <c r="H50" s="1">
        <f t="shared" si="31"/>
        <v>0.30873959052930999</v>
      </c>
      <c r="L50" s="1" t="s">
        <v>53</v>
      </c>
      <c r="M50" s="1">
        <f xml:space="preserve"> 9.6575</f>
        <v>9.6575000000000006</v>
      </c>
      <c r="N50" s="1">
        <f xml:space="preserve"> 9.4002</f>
        <v>9.4001999999999999</v>
      </c>
      <c r="O50" s="1">
        <f xml:space="preserve"> 9.0613</f>
        <v>9.0612999999999992</v>
      </c>
      <c r="P50" s="1">
        <f t="shared" si="32"/>
        <v>9.3729999999999993</v>
      </c>
      <c r="Q50" s="1">
        <f t="shared" si="33"/>
        <v>0.29902924606131825</v>
      </c>
      <c r="R50" s="1">
        <f t="shared" si="34"/>
        <v>3.2320689655172408</v>
      </c>
      <c r="S50" s="1">
        <f t="shared" si="35"/>
        <v>0.10311353312459251</v>
      </c>
    </row>
    <row r="51" spans="1:19" ht="29" x14ac:dyDescent="0.35">
      <c r="A51" s="1" t="s">
        <v>54</v>
      </c>
      <c r="B51" s="1">
        <f xml:space="preserve"> 18.997</f>
        <v>18.997</v>
      </c>
      <c r="C51" s="1">
        <f xml:space="preserve"> 20.26</f>
        <v>20.260000000000002</v>
      </c>
      <c r="D51" s="1">
        <f xml:space="preserve"> 20.472</f>
        <v>20.472000000000001</v>
      </c>
      <c r="E51" s="1">
        <f t="shared" si="28"/>
        <v>19.90966666666667</v>
      </c>
      <c r="F51" s="1">
        <f t="shared" si="29"/>
        <v>0.79746870367014067</v>
      </c>
      <c r="G51" s="1">
        <f t="shared" si="30"/>
        <v>6.8654022988505758</v>
      </c>
      <c r="H51" s="1">
        <f t="shared" si="31"/>
        <v>0.27498920816211747</v>
      </c>
      <c r="L51" s="1" t="s">
        <v>54</v>
      </c>
      <c r="M51" s="1">
        <f xml:space="preserve"> 9.5998</f>
        <v>9.5998000000000001</v>
      </c>
      <c r="N51" s="1">
        <f xml:space="preserve"> 9.5897</f>
        <v>9.5897000000000006</v>
      </c>
      <c r="O51" s="1">
        <f xml:space="preserve"> 9.5464</f>
        <v>9.5464000000000002</v>
      </c>
      <c r="P51" s="1">
        <f t="shared" si="32"/>
        <v>9.5786333333333342</v>
      </c>
      <c r="Q51" s="1">
        <f t="shared" si="33"/>
        <v>2.8367998401955235E-2</v>
      </c>
      <c r="R51" s="1">
        <f t="shared" si="34"/>
        <v>3.3029770114942534</v>
      </c>
      <c r="S51" s="1">
        <f t="shared" si="35"/>
        <v>9.782068414467323E-3</v>
      </c>
    </row>
    <row r="52" spans="1:19" ht="29" x14ac:dyDescent="0.35">
      <c r="A52" s="1" t="s">
        <v>55</v>
      </c>
      <c r="B52" s="1">
        <f xml:space="preserve"> 19.96</f>
        <v>19.96</v>
      </c>
      <c r="C52" s="1">
        <f xml:space="preserve"> 20.136</f>
        <v>20.135999999999999</v>
      </c>
      <c r="D52" s="1">
        <f xml:space="preserve"> 19.12</f>
        <v>19.12</v>
      </c>
      <c r="E52" s="1">
        <f t="shared" si="28"/>
        <v>19.738666666666671</v>
      </c>
      <c r="F52" s="1">
        <f t="shared" si="29"/>
        <v>0.54295978979417303</v>
      </c>
      <c r="G52" s="1">
        <f t="shared" si="30"/>
        <v>6.8064367816091975</v>
      </c>
      <c r="H52" s="1">
        <f t="shared" si="31"/>
        <v>0.18722751372212862</v>
      </c>
      <c r="L52" s="1" t="s">
        <v>55</v>
      </c>
      <c r="M52" s="1">
        <f xml:space="preserve"> 9.7428</f>
        <v>9.7428000000000008</v>
      </c>
      <c r="N52" s="1">
        <f xml:space="preserve"> 9.8351</f>
        <v>9.8351000000000006</v>
      </c>
      <c r="O52" s="1">
        <f xml:space="preserve"> 9.8099</f>
        <v>9.8099000000000007</v>
      </c>
      <c r="P52" s="1">
        <f t="shared" si="32"/>
        <v>9.7959333333333323</v>
      </c>
      <c r="Q52" s="1">
        <f t="shared" si="33"/>
        <v>4.7708734350570707E-2</v>
      </c>
      <c r="R52" s="1">
        <f t="shared" si="34"/>
        <v>3.3779080459770112</v>
      </c>
      <c r="S52" s="1">
        <f t="shared" si="35"/>
        <v>1.6451287707093348E-2</v>
      </c>
    </row>
    <row r="53" spans="1:19" ht="29" x14ac:dyDescent="0.35">
      <c r="A53" s="1" t="s">
        <v>56</v>
      </c>
      <c r="B53" s="1">
        <f xml:space="preserve"> 17.494</f>
        <v>17.494</v>
      </c>
      <c r="C53" s="1">
        <f xml:space="preserve"> 19.118</f>
        <v>19.117999999999999</v>
      </c>
      <c r="D53" s="1">
        <f xml:space="preserve"> 19.39</f>
        <v>19.39</v>
      </c>
      <c r="E53" s="1">
        <f t="shared" si="28"/>
        <v>18.667333333333332</v>
      </c>
      <c r="F53" s="1">
        <f t="shared" si="29"/>
        <v>1.0251972167994474</v>
      </c>
      <c r="G53" s="1">
        <f t="shared" si="30"/>
        <v>6.4370114942528724</v>
      </c>
      <c r="H53" s="1">
        <f t="shared" si="31"/>
        <v>0.35351628165498189</v>
      </c>
      <c r="L53" s="1" t="s">
        <v>56</v>
      </c>
      <c r="M53" s="1">
        <f xml:space="preserve"> 9.1211</f>
        <v>9.1211000000000002</v>
      </c>
      <c r="N53" s="1">
        <f xml:space="preserve"> 9.9419</f>
        <v>9.9419000000000004</v>
      </c>
      <c r="O53" s="1">
        <f xml:space="preserve"> 9.8333</f>
        <v>9.8332999999999995</v>
      </c>
      <c r="P53" s="1">
        <f t="shared" si="32"/>
        <v>9.6321000000000012</v>
      </c>
      <c r="Q53" s="1">
        <f t="shared" si="33"/>
        <v>0.44585786972980518</v>
      </c>
      <c r="R53" s="1">
        <f t="shared" si="34"/>
        <v>3.3214137931034489</v>
      </c>
      <c r="S53" s="1">
        <f t="shared" si="35"/>
        <v>0.15374409301027764</v>
      </c>
    </row>
    <row r="55" spans="1:19" ht="29" x14ac:dyDescent="0.35">
      <c r="B55" s="1" t="s">
        <v>21</v>
      </c>
      <c r="G55" s="1" t="s">
        <v>12</v>
      </c>
      <c r="M55" s="1" t="s">
        <v>21</v>
      </c>
      <c r="R55" s="1" t="s">
        <v>12</v>
      </c>
    </row>
    <row r="56" spans="1:19" x14ac:dyDescent="0.35">
      <c r="A56" s="4" t="s">
        <v>60</v>
      </c>
      <c r="B56" s="1" t="s">
        <v>16</v>
      </c>
      <c r="C56" s="1" t="s">
        <v>17</v>
      </c>
      <c r="D56" s="1" t="s">
        <v>18</v>
      </c>
      <c r="E56" s="1" t="s">
        <v>19</v>
      </c>
      <c r="F56" s="1" t="s">
        <v>20</v>
      </c>
      <c r="G56" s="1" t="s">
        <v>19</v>
      </c>
      <c r="H56" s="1" t="s">
        <v>20</v>
      </c>
      <c r="L56" s="4" t="s">
        <v>60</v>
      </c>
      <c r="M56" s="1" t="s">
        <v>16</v>
      </c>
      <c r="N56" s="1" t="s">
        <v>17</v>
      </c>
      <c r="O56" s="1" t="s">
        <v>18</v>
      </c>
      <c r="P56" s="1" t="s">
        <v>19</v>
      </c>
      <c r="Q56" s="1" t="s">
        <v>20</v>
      </c>
      <c r="R56" s="1" t="s">
        <v>19</v>
      </c>
      <c r="S56" s="1" t="s">
        <v>20</v>
      </c>
    </row>
    <row r="57" spans="1:19" ht="29" x14ac:dyDescent="0.35">
      <c r="A57" s="1" t="s">
        <v>61</v>
      </c>
      <c r="B57" s="1">
        <f xml:space="preserve"> 21.654</f>
        <v>21.654</v>
      </c>
      <c r="C57" s="1">
        <f xml:space="preserve"> 23.298</f>
        <v>23.297999999999998</v>
      </c>
      <c r="D57" s="1">
        <f xml:space="preserve"> 22.612</f>
        <v>22.611999999999998</v>
      </c>
      <c r="E57" s="1">
        <f xml:space="preserve"> AVERAGE(B57:D57)</f>
        <v>22.521333333333331</v>
      </c>
      <c r="F57" s="1">
        <f xml:space="preserve"> _xlfn.STDEV.S(B57:D57)</f>
        <v>0.82574168680849092</v>
      </c>
      <c r="G57" s="1">
        <f xml:space="preserve"> E57/$J$5 * 100</f>
        <v>7.7659770114942521</v>
      </c>
      <c r="H57" s="1">
        <f xml:space="preserve"> F57/$J$5 * 100</f>
        <v>0.28473851269258305</v>
      </c>
      <c r="L57" s="1" t="s">
        <v>61</v>
      </c>
      <c r="M57" s="1">
        <f xml:space="preserve"> 11.355</f>
        <v>11.355</v>
      </c>
      <c r="N57" s="1">
        <f xml:space="preserve"> 12.053</f>
        <v>12.053000000000001</v>
      </c>
      <c r="O57" s="1">
        <f xml:space="preserve"> 11.858</f>
        <v>11.858000000000001</v>
      </c>
      <c r="P57" s="1">
        <f xml:space="preserve"> AVERAGE(M57:O57)</f>
        <v>11.755333333333335</v>
      </c>
      <c r="Q57" s="1">
        <f xml:space="preserve"> _xlfn.STDEV.S(M57:O57)</f>
        <v>0.36014765490467027</v>
      </c>
      <c r="R57" s="1">
        <f xml:space="preserve"> P57/$J$5 * 100</f>
        <v>4.0535632183908055</v>
      </c>
      <c r="S57" s="1">
        <f xml:space="preserve"> Q57/$J$5 * 100</f>
        <v>0.12418884651885181</v>
      </c>
    </row>
    <row r="58" spans="1:19" ht="29" x14ac:dyDescent="0.35">
      <c r="A58" s="1" t="s">
        <v>62</v>
      </c>
      <c r="B58" s="1">
        <f xml:space="preserve"> 20.673</f>
        <v>20.672999999999998</v>
      </c>
      <c r="C58" s="1">
        <f xml:space="preserve"> 22.083</f>
        <v>22.082999999999998</v>
      </c>
      <c r="D58" s="1">
        <f xml:space="preserve"> 22.556</f>
        <v>22.556000000000001</v>
      </c>
      <c r="E58" s="1">
        <f t="shared" ref="E58:E62" si="36" xml:space="preserve"> AVERAGE(B58:D58)</f>
        <v>21.770666666666667</v>
      </c>
      <c r="F58" s="1">
        <f t="shared" ref="F58:F62" si="37" xml:space="preserve"> _xlfn.STDEV.S(B58:D58)</f>
        <v>0.97958477598079052</v>
      </c>
      <c r="G58" s="1">
        <f t="shared" ref="G58:G62" si="38" xml:space="preserve"> E58/$J$5 * 100</f>
        <v>7.5071264367816095</v>
      </c>
      <c r="H58" s="1">
        <f t="shared" ref="H58:H62" si="39" xml:space="preserve"> F58/$J$5 * 100</f>
        <v>0.33778785378647946</v>
      </c>
      <c r="L58" s="1" t="s">
        <v>62</v>
      </c>
      <c r="M58" s="1">
        <f xml:space="preserve"> 11.589</f>
        <v>11.589</v>
      </c>
      <c r="N58" s="1">
        <f xml:space="preserve"> 12.177</f>
        <v>12.177</v>
      </c>
      <c r="O58" s="1">
        <f xml:space="preserve"> 12.209</f>
        <v>12.209</v>
      </c>
      <c r="P58" s="1">
        <f t="shared" ref="P58:P62" si="40" xml:space="preserve"> AVERAGE(M58:O58)</f>
        <v>11.991666666666665</v>
      </c>
      <c r="Q58" s="1">
        <f t="shared" ref="Q58:Q62" si="41" xml:space="preserve"> _xlfn.STDEV.S(M58:O58)</f>
        <v>0.34908642673889945</v>
      </c>
      <c r="R58" s="1">
        <f t="shared" ref="R58:R62" si="42" xml:space="preserve"> P58/$J$5 * 100</f>
        <v>4.1350574712643677</v>
      </c>
      <c r="S58" s="1">
        <f t="shared" ref="S58:S62" si="43" xml:space="preserve"> Q58/$J$5 * 100</f>
        <v>0.12037462990996534</v>
      </c>
    </row>
    <row r="59" spans="1:19" ht="29" x14ac:dyDescent="0.35">
      <c r="A59" s="1" t="s">
        <v>63</v>
      </c>
      <c r="B59" s="1">
        <f xml:space="preserve"> 19.047</f>
        <v>19.047000000000001</v>
      </c>
      <c r="C59" s="1">
        <f xml:space="preserve"> 18.457</f>
        <v>18.457000000000001</v>
      </c>
      <c r="D59" s="1">
        <f xml:space="preserve"> 19.104</f>
        <v>19.103999999999999</v>
      </c>
      <c r="E59" s="1">
        <f t="shared" si="36"/>
        <v>18.869333333333334</v>
      </c>
      <c r="F59" s="1">
        <f t="shared" si="37"/>
        <v>0.35822665078596955</v>
      </c>
      <c r="G59" s="1">
        <f t="shared" si="38"/>
        <v>6.5066666666666659</v>
      </c>
      <c r="H59" s="1">
        <f t="shared" si="39"/>
        <v>0.12352643130550674</v>
      </c>
      <c r="L59" s="1" t="s">
        <v>63</v>
      </c>
      <c r="M59" s="1">
        <f xml:space="preserve"> 9.2483</f>
        <v>9.2483000000000004</v>
      </c>
      <c r="N59" s="1">
        <f xml:space="preserve"> 9.2826</f>
        <v>9.2826000000000004</v>
      </c>
      <c r="O59" s="1">
        <f xml:space="preserve"> 9.3232</f>
        <v>9.3231999999999999</v>
      </c>
      <c r="P59" s="1">
        <f t="shared" si="40"/>
        <v>9.2847000000000008</v>
      </c>
      <c r="Q59" s="1">
        <f t="shared" si="41"/>
        <v>3.7494132874357579E-2</v>
      </c>
      <c r="R59" s="1">
        <f t="shared" si="42"/>
        <v>3.2016206896551727</v>
      </c>
      <c r="S59" s="1">
        <f t="shared" si="43"/>
        <v>1.292901133598537E-2</v>
      </c>
    </row>
    <row r="60" spans="1:19" ht="29" x14ac:dyDescent="0.35">
      <c r="A60" s="1" t="s">
        <v>64</v>
      </c>
      <c r="B60" s="1">
        <f xml:space="preserve"> 17.941</f>
        <v>17.940999999999999</v>
      </c>
      <c r="C60" s="1">
        <f xml:space="preserve"> 18.002</f>
        <v>18.001999999999999</v>
      </c>
      <c r="D60" s="1">
        <f xml:space="preserve"> 18.263</f>
        <v>18.263000000000002</v>
      </c>
      <c r="E60" s="1">
        <f t="shared" si="36"/>
        <v>18.068666666666669</v>
      </c>
      <c r="F60" s="1">
        <f t="shared" si="37"/>
        <v>0.17103898191153347</v>
      </c>
      <c r="G60" s="1">
        <f t="shared" si="38"/>
        <v>6.230574712643679</v>
      </c>
      <c r="H60" s="1">
        <f t="shared" si="39"/>
        <v>5.8978959279839129E-2</v>
      </c>
      <c r="L60" s="1" t="s">
        <v>64</v>
      </c>
      <c r="M60" s="1">
        <f xml:space="preserve"> 9.9382</f>
        <v>9.9382000000000001</v>
      </c>
      <c r="N60" s="1">
        <f xml:space="preserve"> 9.5774</f>
        <v>9.5774000000000008</v>
      </c>
      <c r="O60" s="1">
        <f xml:space="preserve"> 9.5393</f>
        <v>9.5393000000000008</v>
      </c>
      <c r="P60" s="1">
        <f t="shared" si="40"/>
        <v>9.6849666666666661</v>
      </c>
      <c r="Q60" s="1">
        <f t="shared" si="41"/>
        <v>0.22013233141302341</v>
      </c>
      <c r="R60" s="1">
        <f t="shared" si="42"/>
        <v>3.3396436781609196</v>
      </c>
      <c r="S60" s="1">
        <f t="shared" si="43"/>
        <v>7.5907700487249444E-2</v>
      </c>
    </row>
    <row r="61" spans="1:19" ht="41.5" customHeight="1" x14ac:dyDescent="0.35">
      <c r="A61" s="1" t="s">
        <v>66</v>
      </c>
      <c r="B61" s="1">
        <f xml:space="preserve"> 17.308</f>
        <v>17.308</v>
      </c>
      <c r="C61" s="1">
        <f xml:space="preserve"> 18.692</f>
        <v>18.692</v>
      </c>
      <c r="D61" s="1">
        <f xml:space="preserve"> 18.382</f>
        <v>18.382000000000001</v>
      </c>
      <c r="E61" s="1">
        <f t="shared" si="36"/>
        <v>18.127333333333336</v>
      </c>
      <c r="F61" s="1">
        <f t="shared" si="37"/>
        <v>0.72629562392550184</v>
      </c>
      <c r="G61" s="1">
        <f t="shared" si="38"/>
        <v>6.2508045977011495</v>
      </c>
      <c r="H61" s="1">
        <f t="shared" si="39"/>
        <v>0.2504467668708627</v>
      </c>
      <c r="L61" s="1" t="s">
        <v>66</v>
      </c>
      <c r="M61" s="1">
        <f xml:space="preserve"> 10.039</f>
        <v>10.039</v>
      </c>
      <c r="N61" s="1">
        <f xml:space="preserve"> 10.313</f>
        <v>10.313000000000001</v>
      </c>
      <c r="O61" s="1">
        <f xml:space="preserve"> 9.7154</f>
        <v>9.7154000000000007</v>
      </c>
      <c r="P61" s="1">
        <f t="shared" si="40"/>
        <v>10.022466666666666</v>
      </c>
      <c r="Q61" s="1">
        <f t="shared" si="41"/>
        <v>0.29914286441988436</v>
      </c>
      <c r="R61" s="1">
        <f t="shared" si="42"/>
        <v>3.456022988505747</v>
      </c>
      <c r="S61" s="1">
        <f t="shared" si="43"/>
        <v>0.10315271186892563</v>
      </c>
    </row>
    <row r="62" spans="1:19" ht="29" x14ac:dyDescent="0.35">
      <c r="A62" s="1" t="s">
        <v>65</v>
      </c>
      <c r="B62" s="1">
        <f xml:space="preserve"> 16.707</f>
        <v>16.707000000000001</v>
      </c>
      <c r="C62" s="1">
        <f xml:space="preserve"> 17.428</f>
        <v>17.428000000000001</v>
      </c>
      <c r="D62" s="1">
        <f xml:space="preserve"> 16.971</f>
        <v>16.971</v>
      </c>
      <c r="E62" s="1">
        <f t="shared" si="36"/>
        <v>17.035333333333337</v>
      </c>
      <c r="F62" s="1">
        <f t="shared" si="37"/>
        <v>0.36477984227933075</v>
      </c>
      <c r="G62" s="1">
        <f t="shared" si="38"/>
        <v>5.8742528735632193</v>
      </c>
      <c r="H62" s="1">
        <f t="shared" si="39"/>
        <v>0.12578615251011405</v>
      </c>
      <c r="L62" s="1" t="s">
        <v>65</v>
      </c>
      <c r="M62" s="1">
        <f xml:space="preserve"> 9.8426</f>
        <v>9.8425999999999991</v>
      </c>
      <c r="N62" s="1">
        <f xml:space="preserve"> 9.9937</f>
        <v>9.9937000000000005</v>
      </c>
      <c r="O62" s="1">
        <f xml:space="preserve"> 9.8426</f>
        <v>9.8425999999999991</v>
      </c>
      <c r="P62" s="1">
        <f t="shared" si="40"/>
        <v>9.8929666666666662</v>
      </c>
      <c r="Q62" s="1">
        <f t="shared" si="41"/>
        <v>8.7237625674553232E-2</v>
      </c>
      <c r="R62" s="1">
        <f t="shared" si="42"/>
        <v>3.4113678160919534</v>
      </c>
      <c r="S62" s="1">
        <f t="shared" si="43"/>
        <v>3.0081939887776975E-2</v>
      </c>
    </row>
    <row r="64" spans="1:19" ht="29" x14ac:dyDescent="0.35">
      <c r="A64" s="4"/>
      <c r="B64" s="1" t="s">
        <v>21</v>
      </c>
      <c r="G64" s="1" t="s">
        <v>12</v>
      </c>
      <c r="L64" s="4"/>
      <c r="M64" s="1" t="s">
        <v>21</v>
      </c>
      <c r="R64" s="1" t="s">
        <v>12</v>
      </c>
    </row>
    <row r="65" spans="1:19" x14ac:dyDescent="0.35">
      <c r="A65" s="4" t="s">
        <v>67</v>
      </c>
      <c r="B65" s="1" t="s">
        <v>16</v>
      </c>
      <c r="C65" s="1" t="s">
        <v>17</v>
      </c>
      <c r="D65" s="1" t="s">
        <v>18</v>
      </c>
      <c r="E65" s="1" t="s">
        <v>19</v>
      </c>
      <c r="F65" s="1" t="s">
        <v>20</v>
      </c>
      <c r="G65" s="1" t="s">
        <v>19</v>
      </c>
      <c r="H65" s="1" t="s">
        <v>20</v>
      </c>
      <c r="L65" s="4" t="s">
        <v>67</v>
      </c>
      <c r="M65" s="1" t="s">
        <v>16</v>
      </c>
      <c r="N65" s="1" t="s">
        <v>17</v>
      </c>
      <c r="O65" s="1" t="s">
        <v>18</v>
      </c>
      <c r="P65" s="1" t="s">
        <v>19</v>
      </c>
      <c r="Q65" s="1" t="s">
        <v>20</v>
      </c>
      <c r="R65" s="1" t="s">
        <v>19</v>
      </c>
      <c r="S65" s="1" t="s">
        <v>20</v>
      </c>
    </row>
    <row r="66" spans="1:19" ht="29" x14ac:dyDescent="0.35">
      <c r="A66" s="1" t="s">
        <v>68</v>
      </c>
      <c r="B66" s="1">
        <f xml:space="preserve"> 21.88</f>
        <v>21.88</v>
      </c>
      <c r="C66" s="1">
        <f xml:space="preserve"> 23.002</f>
        <v>23.001999999999999</v>
      </c>
      <c r="D66" s="1">
        <f xml:space="preserve"> 22.192</f>
        <v>22.192</v>
      </c>
      <c r="E66" s="1">
        <f xml:space="preserve"> AVERAGE(B66:D66)</f>
        <v>22.358000000000001</v>
      </c>
      <c r="F66" s="1">
        <f xml:space="preserve"> _xlfn.STDEV.S(B66:D66)</f>
        <v>0.57912692909240526</v>
      </c>
      <c r="G66" s="1">
        <f t="shared" ref="G66:H71" si="44" xml:space="preserve"> E66/$J$5 * 100</f>
        <v>7.7096551724137932</v>
      </c>
      <c r="H66" s="1">
        <f t="shared" si="44"/>
        <v>0.19969894106634667</v>
      </c>
      <c r="L66" s="1" t="s">
        <v>68</v>
      </c>
      <c r="M66" s="1">
        <f xml:space="preserve"> 12.102</f>
        <v>12.102</v>
      </c>
      <c r="N66" s="1">
        <f xml:space="preserve"> 12.161</f>
        <v>12.161</v>
      </c>
      <c r="O66" s="1">
        <f xml:space="preserve"> 11.471</f>
        <v>11.471</v>
      </c>
      <c r="P66" s="1">
        <f xml:space="preserve"> AVERAGE(M66:O66)</f>
        <v>11.911333333333332</v>
      </c>
      <c r="Q66" s="1">
        <f xml:space="preserve"> _xlfn.STDEV.S(M66:O66)</f>
        <v>0.38247919333387698</v>
      </c>
      <c r="R66" s="1">
        <f t="shared" ref="R66:R71" si="45" xml:space="preserve"> P66/$J$5 * 100</f>
        <v>4.1073563218390801</v>
      </c>
      <c r="S66" s="1">
        <f t="shared" ref="S66:S71" si="46" xml:space="preserve"> Q66/$J$5 * 100</f>
        <v>0.13188937701168171</v>
      </c>
    </row>
    <row r="67" spans="1:19" ht="29" x14ac:dyDescent="0.35">
      <c r="A67" s="1" t="s">
        <v>69</v>
      </c>
      <c r="B67" s="1">
        <f xml:space="preserve"> 23.568</f>
        <v>23.568000000000001</v>
      </c>
      <c r="C67" s="1">
        <f xml:space="preserve"> 24.71</f>
        <v>24.71</v>
      </c>
      <c r="D67" s="1">
        <f xml:space="preserve"> 25.016</f>
        <v>25.015999999999998</v>
      </c>
      <c r="E67" s="1">
        <f t="shared" ref="E67:E71" si="47" xml:space="preserve"> AVERAGE(B67:D67)</f>
        <v>24.431333333333338</v>
      </c>
      <c r="F67" s="1">
        <f t="shared" ref="F67:F71" si="48" xml:space="preserve"> _xlfn.STDEV.S(B67:D67)</f>
        <v>0.76316271746812381</v>
      </c>
      <c r="G67" s="1">
        <f t="shared" si="44"/>
        <v>8.4245977011494269</v>
      </c>
      <c r="H67" s="1">
        <f t="shared" si="44"/>
        <v>0.26315955774762889</v>
      </c>
      <c r="L67" s="1" t="s">
        <v>69</v>
      </c>
      <c r="M67" s="1">
        <f xml:space="preserve"> 11.572</f>
        <v>11.571999999999999</v>
      </c>
      <c r="N67" s="1">
        <f xml:space="preserve"> 11.82</f>
        <v>11.82</v>
      </c>
      <c r="O67" s="1">
        <f xml:space="preserve"> 12.063</f>
        <v>12.063000000000001</v>
      </c>
      <c r="P67" s="1">
        <f t="shared" ref="P67:P71" si="49" xml:space="preserve"> AVERAGE(M67:O67)</f>
        <v>11.818333333333333</v>
      </c>
      <c r="Q67" s="1">
        <f t="shared" ref="Q67:Q71" si="50" xml:space="preserve"> _xlfn.STDEV.S(M67:O67)</f>
        <v>0.24550424300474663</v>
      </c>
      <c r="R67" s="1">
        <f t="shared" si="45"/>
        <v>4.075287356321839</v>
      </c>
      <c r="S67" s="1">
        <f t="shared" si="46"/>
        <v>8.4656635518878143E-2</v>
      </c>
    </row>
    <row r="68" spans="1:19" ht="29" x14ac:dyDescent="0.35">
      <c r="A68" s="1" t="s">
        <v>70</v>
      </c>
      <c r="B68" s="1">
        <f xml:space="preserve"> 19.136</f>
        <v>19.135999999999999</v>
      </c>
      <c r="C68" s="1">
        <f xml:space="preserve"> 19.344</f>
        <v>19.344000000000001</v>
      </c>
      <c r="D68" s="1">
        <f xml:space="preserve"> 19.47</f>
        <v>19.47</v>
      </c>
      <c r="E68" s="1">
        <f t="shared" si="47"/>
        <v>19.316666666666666</v>
      </c>
      <c r="F68" s="1">
        <f t="shared" si="48"/>
        <v>0.1686693016921969</v>
      </c>
      <c r="G68" s="1">
        <f t="shared" si="44"/>
        <v>6.6609195402298846</v>
      </c>
      <c r="H68" s="1">
        <f t="shared" si="44"/>
        <v>5.8161828169723075E-2</v>
      </c>
      <c r="L68" s="1" t="s">
        <v>70</v>
      </c>
      <c r="M68" s="1">
        <f xml:space="preserve"> 11.544</f>
        <v>11.544</v>
      </c>
      <c r="N68" s="1">
        <f xml:space="preserve"> 11.771</f>
        <v>11.771000000000001</v>
      </c>
      <c r="O68" s="1">
        <f xml:space="preserve"> 11.882</f>
        <v>11.882</v>
      </c>
      <c r="P68" s="1">
        <f t="shared" si="49"/>
        <v>11.732333333333335</v>
      </c>
      <c r="Q68" s="1">
        <f t="shared" si="50"/>
        <v>0.17228561557290042</v>
      </c>
      <c r="R68" s="1">
        <f t="shared" si="45"/>
        <v>4.0456321839080465</v>
      </c>
      <c r="S68" s="1">
        <f t="shared" si="46"/>
        <v>5.9408832956172553E-2</v>
      </c>
    </row>
    <row r="69" spans="1:19" ht="29" x14ac:dyDescent="0.35">
      <c r="A69" s="1" t="s">
        <v>71</v>
      </c>
      <c r="B69" s="1">
        <f xml:space="preserve"> 23.215</f>
        <v>23.215</v>
      </c>
      <c r="C69" s="1">
        <f xml:space="preserve"> 20.327</f>
        <v>20.327000000000002</v>
      </c>
      <c r="D69" s="1">
        <f xml:space="preserve"> 22.757</f>
        <v>22.757000000000001</v>
      </c>
      <c r="E69" s="1">
        <f t="shared" si="47"/>
        <v>22.099666666666668</v>
      </c>
      <c r="F69" s="1">
        <f t="shared" si="48"/>
        <v>1.5521602150980842</v>
      </c>
      <c r="G69" s="1">
        <f t="shared" si="44"/>
        <v>7.6205747126436778</v>
      </c>
      <c r="H69" s="1">
        <f t="shared" si="44"/>
        <v>0.53522766037864966</v>
      </c>
      <c r="L69" s="1" t="s">
        <v>71</v>
      </c>
      <c r="M69" s="1">
        <f xml:space="preserve"> 9.7954</f>
        <v>9.7954000000000008</v>
      </c>
      <c r="N69" s="1">
        <f xml:space="preserve"> 9.3867</f>
        <v>9.3866999999999994</v>
      </c>
      <c r="O69" s="1">
        <f xml:space="preserve"> 9.6921</f>
        <v>9.6920999999999999</v>
      </c>
      <c r="P69" s="1">
        <f t="shared" si="49"/>
        <v>9.6247333333333334</v>
      </c>
      <c r="Q69" s="1">
        <f t="shared" si="50"/>
        <v>0.21251499554933437</v>
      </c>
      <c r="R69" s="1">
        <f t="shared" si="45"/>
        <v>3.3188735632183906</v>
      </c>
      <c r="S69" s="1">
        <f t="shared" si="46"/>
        <v>7.3281032948046332E-2</v>
      </c>
    </row>
    <row r="70" spans="1:19" ht="29" x14ac:dyDescent="0.35">
      <c r="A70" s="1" t="s">
        <v>72</v>
      </c>
      <c r="B70" s="1">
        <f xml:space="preserve"> 18.19</f>
        <v>18.190000000000001</v>
      </c>
      <c r="C70" s="1">
        <f xml:space="preserve"> 18.817</f>
        <v>18.817</v>
      </c>
      <c r="D70" s="1">
        <f xml:space="preserve"> 18.43</f>
        <v>18.43</v>
      </c>
      <c r="E70" s="1">
        <f t="shared" si="47"/>
        <v>18.479000000000003</v>
      </c>
      <c r="F70" s="1">
        <f t="shared" si="48"/>
        <v>0.31635897331986601</v>
      </c>
      <c r="G70" s="1">
        <f t="shared" si="44"/>
        <v>6.3720689655172427</v>
      </c>
      <c r="H70" s="1">
        <f t="shared" si="44"/>
        <v>0.10908930114478137</v>
      </c>
      <c r="L70" s="1" t="s">
        <v>72</v>
      </c>
      <c r="M70" s="1">
        <f xml:space="preserve"> 8.5177</f>
        <v>8.5176999999999996</v>
      </c>
      <c r="N70" s="1">
        <f xml:space="preserve"> 8.7458</f>
        <v>8.7457999999999991</v>
      </c>
      <c r="O70" s="1">
        <f xml:space="preserve"> 8.6198</f>
        <v>8.6197999999999997</v>
      </c>
      <c r="P70" s="1">
        <f t="shared" si="49"/>
        <v>8.6277666666666661</v>
      </c>
      <c r="Q70" s="1">
        <f t="shared" si="50"/>
        <v>0.11425849348443763</v>
      </c>
      <c r="R70" s="1">
        <f t="shared" si="45"/>
        <v>2.9750919540229881</v>
      </c>
      <c r="S70" s="1">
        <f t="shared" si="46"/>
        <v>3.939948051187505E-2</v>
      </c>
    </row>
    <row r="71" spans="1:19" ht="29" x14ac:dyDescent="0.35">
      <c r="A71" s="1" t="s">
        <v>73</v>
      </c>
      <c r="B71" s="1">
        <f xml:space="preserve"> 18.82</f>
        <v>18.82</v>
      </c>
      <c r="C71" s="1">
        <f xml:space="preserve"> 18.713</f>
        <v>18.713000000000001</v>
      </c>
      <c r="D71" s="1">
        <f xml:space="preserve"> 18.256</f>
        <v>18.256</v>
      </c>
      <c r="E71" s="1">
        <f t="shared" si="47"/>
        <v>18.596333333333334</v>
      </c>
      <c r="F71" s="1">
        <f t="shared" si="48"/>
        <v>0.29955355670285982</v>
      </c>
      <c r="G71" s="1">
        <f t="shared" si="44"/>
        <v>6.4125287356321836</v>
      </c>
      <c r="H71" s="1">
        <f t="shared" si="44"/>
        <v>0.10329432989753787</v>
      </c>
      <c r="L71" s="1" t="s">
        <v>73</v>
      </c>
      <c r="M71" s="1">
        <f xml:space="preserve"> 10.415</f>
        <v>10.414999999999999</v>
      </c>
      <c r="N71" s="1">
        <f xml:space="preserve"> 10.207</f>
        <v>10.207000000000001</v>
      </c>
      <c r="O71" s="1">
        <f xml:space="preserve"> 10.4</f>
        <v>10.4</v>
      </c>
      <c r="P71" s="1">
        <f t="shared" si="49"/>
        <v>10.340666666666666</v>
      </c>
      <c r="Q71" s="1">
        <f t="shared" si="50"/>
        <v>0.11600143677271067</v>
      </c>
      <c r="R71" s="1">
        <f t="shared" si="45"/>
        <v>3.5657471264367815</v>
      </c>
      <c r="S71" s="1">
        <f t="shared" si="46"/>
        <v>4.0000495438865746E-2</v>
      </c>
    </row>
    <row r="73" spans="1:19" ht="29" x14ac:dyDescent="0.35">
      <c r="A73" s="4"/>
      <c r="B73" s="1" t="s">
        <v>21</v>
      </c>
      <c r="G73" s="1" t="s">
        <v>12</v>
      </c>
      <c r="L73" s="4"/>
      <c r="M73" s="1" t="s">
        <v>21</v>
      </c>
      <c r="R73" s="1" t="s">
        <v>12</v>
      </c>
    </row>
    <row r="74" spans="1:19" x14ac:dyDescent="0.35">
      <c r="A74" s="4" t="s">
        <v>78</v>
      </c>
      <c r="B74" s="1" t="s">
        <v>16</v>
      </c>
      <c r="C74" s="1" t="s">
        <v>17</v>
      </c>
      <c r="D74" s="1" t="s">
        <v>18</v>
      </c>
      <c r="E74" s="1" t="s">
        <v>19</v>
      </c>
      <c r="F74" s="1" t="s">
        <v>20</v>
      </c>
      <c r="G74" s="1" t="s">
        <v>19</v>
      </c>
      <c r="H74" s="1" t="s">
        <v>20</v>
      </c>
      <c r="L74" s="4" t="s">
        <v>78</v>
      </c>
      <c r="M74" s="1" t="s">
        <v>16</v>
      </c>
      <c r="N74" s="1" t="s">
        <v>17</v>
      </c>
      <c r="O74" s="1" t="s">
        <v>18</v>
      </c>
      <c r="P74" s="1" t="s">
        <v>19</v>
      </c>
      <c r="Q74" s="1" t="s">
        <v>20</v>
      </c>
      <c r="R74" s="1" t="s">
        <v>19</v>
      </c>
      <c r="S74" s="1" t="s">
        <v>20</v>
      </c>
    </row>
    <row r="75" spans="1:19" ht="29" x14ac:dyDescent="0.35">
      <c r="A75" s="1" t="s">
        <v>79</v>
      </c>
      <c r="B75" s="1">
        <f xml:space="preserve"> 23.845</f>
        <v>23.844999999999999</v>
      </c>
      <c r="C75" s="1">
        <f xml:space="preserve"> 24.34</f>
        <v>24.34</v>
      </c>
      <c r="D75" s="1">
        <f xml:space="preserve"> 25.612</f>
        <v>25.611999999999998</v>
      </c>
      <c r="E75" s="1">
        <f xml:space="preserve"> AVERAGE(B75:D75)</f>
        <v>24.599</v>
      </c>
      <c r="F75" s="1">
        <f xml:space="preserve"> _xlfn.STDEV.S(B75:D75)</f>
        <v>0.91152783830226447</v>
      </c>
      <c r="G75" s="1">
        <f t="shared" ref="G75:G80" si="51" xml:space="preserve"> E75/$J$5 * 100</f>
        <v>8.4824137931034471</v>
      </c>
      <c r="H75" s="1">
        <f t="shared" ref="H75:H80" si="52" xml:space="preserve"> F75/$J$5 * 100</f>
        <v>0.31431994424216014</v>
      </c>
      <c r="L75" s="1" t="s">
        <v>79</v>
      </c>
      <c r="M75" s="1">
        <f xml:space="preserve"> 11.378</f>
        <v>11.378</v>
      </c>
      <c r="N75" s="1">
        <f xml:space="preserve"> 11.388</f>
        <v>11.388</v>
      </c>
      <c r="O75" s="1">
        <f xml:space="preserve"> 11.925</f>
        <v>11.925000000000001</v>
      </c>
      <c r="P75" s="1">
        <f xml:space="preserve"> AVERAGE(M75:O75)</f>
        <v>11.563666666666668</v>
      </c>
      <c r="Q75" s="1">
        <f xml:space="preserve"> _xlfn.STDEV.S(M75:O75)</f>
        <v>0.31296378917269901</v>
      </c>
      <c r="R75" s="1">
        <f t="shared" ref="R75:R80" si="53" xml:space="preserve"> P75/$J$5 * 100</f>
        <v>3.9874712643678167</v>
      </c>
      <c r="S75" s="1">
        <f t="shared" ref="S75:S80" si="54" xml:space="preserve"> Q75/$J$5 * 100</f>
        <v>0.10791854799058587</v>
      </c>
    </row>
    <row r="76" spans="1:19" ht="29" x14ac:dyDescent="0.35">
      <c r="A76" s="1" t="s">
        <v>80</v>
      </c>
      <c r="B76" s="1">
        <f xml:space="preserve"> 22.763</f>
        <v>22.763000000000002</v>
      </c>
      <c r="C76" s="1">
        <f xml:space="preserve"> 25.64</f>
        <v>25.64</v>
      </c>
      <c r="D76" s="1">
        <f xml:space="preserve"> 27.214</f>
        <v>27.213999999999999</v>
      </c>
      <c r="E76" s="1">
        <f t="shared" ref="E76:E80" si="55" xml:space="preserve"> AVERAGE(B76:D76)</f>
        <v>25.205666666666669</v>
      </c>
      <c r="F76" s="1">
        <f t="shared" ref="F76:F80" si="56" xml:space="preserve"> _xlfn.STDEV.S(B76:D76)</f>
        <v>2.2570632098666015</v>
      </c>
      <c r="G76" s="1">
        <f t="shared" si="51"/>
        <v>8.6916091954023003</v>
      </c>
      <c r="H76" s="1">
        <f t="shared" si="52"/>
        <v>0.77829765857469024</v>
      </c>
      <c r="L76" s="1" t="s">
        <v>80</v>
      </c>
      <c r="M76" s="1">
        <f xml:space="preserve"> 11.089</f>
        <v>11.089</v>
      </c>
      <c r="N76" s="1">
        <f xml:space="preserve"> 11.515</f>
        <v>11.515000000000001</v>
      </c>
      <c r="O76" s="1">
        <f xml:space="preserve"> 11.628</f>
        <v>11.628</v>
      </c>
      <c r="P76" s="1">
        <f t="shared" ref="P76:P80" si="57" xml:space="preserve"> AVERAGE(M76:O76)</f>
        <v>11.410666666666666</v>
      </c>
      <c r="Q76" s="1">
        <f t="shared" ref="Q76:Q80" si="58" xml:space="preserve"> _xlfn.STDEV.S(M76:O76)</f>
        <v>0.28424344026438547</v>
      </c>
      <c r="R76" s="1">
        <f t="shared" si="53"/>
        <v>3.9347126436781608</v>
      </c>
      <c r="S76" s="1">
        <f t="shared" si="54"/>
        <v>9.8014979401512242E-2</v>
      </c>
    </row>
    <row r="77" spans="1:19" ht="29" x14ac:dyDescent="0.35">
      <c r="A77" s="1" t="s">
        <v>81</v>
      </c>
      <c r="B77" s="1">
        <f xml:space="preserve"> 18.664</f>
        <v>18.664000000000001</v>
      </c>
      <c r="C77" s="1">
        <f xml:space="preserve"> 20.879</f>
        <v>20.879000000000001</v>
      </c>
      <c r="D77" s="1">
        <f xml:space="preserve"> 24.325</f>
        <v>24.324999999999999</v>
      </c>
      <c r="E77" s="1">
        <f t="shared" si="55"/>
        <v>21.289333333333335</v>
      </c>
      <c r="F77" s="1">
        <f t="shared" si="56"/>
        <v>2.852719813324315</v>
      </c>
      <c r="G77" s="1">
        <f t="shared" si="51"/>
        <v>7.3411494252873561</v>
      </c>
      <c r="H77" s="1">
        <f t="shared" si="52"/>
        <v>0.98369648735321202</v>
      </c>
      <c r="L77" s="1" t="s">
        <v>81</v>
      </c>
      <c r="M77" s="1">
        <f xml:space="preserve"> 9.0101</f>
        <v>9.0100999999999996</v>
      </c>
      <c r="N77" s="1">
        <f xml:space="preserve"> 9.4023</f>
        <v>9.4023000000000003</v>
      </c>
      <c r="O77" s="1">
        <f xml:space="preserve"> 9.4598</f>
        <v>9.4597999999999995</v>
      </c>
      <c r="P77" s="1">
        <f t="shared" si="57"/>
        <v>9.2907333333333337</v>
      </c>
      <c r="Q77" s="1">
        <f t="shared" si="58"/>
        <v>0.24473018476136821</v>
      </c>
      <c r="R77" s="1">
        <f t="shared" si="53"/>
        <v>3.2037011494252874</v>
      </c>
      <c r="S77" s="1">
        <f t="shared" si="54"/>
        <v>8.4389718883230422E-2</v>
      </c>
    </row>
    <row r="78" spans="1:19" ht="29" x14ac:dyDescent="0.35">
      <c r="A78" s="1" t="s">
        <v>82</v>
      </c>
      <c r="B78" s="1">
        <f xml:space="preserve"> 18.455</f>
        <v>18.454999999999998</v>
      </c>
      <c r="C78" s="1">
        <f xml:space="preserve"> 18.435</f>
        <v>18.434999999999999</v>
      </c>
      <c r="D78" s="1">
        <f xml:space="preserve"> 18.922</f>
        <v>18.922000000000001</v>
      </c>
      <c r="E78" s="1">
        <f t="shared" si="55"/>
        <v>18.603999999999999</v>
      </c>
      <c r="F78" s="1">
        <f t="shared" si="56"/>
        <v>0.27557757528507404</v>
      </c>
      <c r="G78" s="1">
        <f t="shared" si="51"/>
        <v>6.4151724137931039</v>
      </c>
      <c r="H78" s="1">
        <f t="shared" si="52"/>
        <v>9.5026750098301388E-2</v>
      </c>
      <c r="L78" s="1" t="s">
        <v>82</v>
      </c>
      <c r="M78" s="1">
        <f xml:space="preserve"> 9.1867</f>
        <v>9.1867000000000001</v>
      </c>
      <c r="N78" s="1">
        <f xml:space="preserve"> 9.436</f>
        <v>9.4359999999999999</v>
      </c>
      <c r="O78" s="1">
        <f xml:space="preserve"> 9.0406</f>
        <v>9.0405999999999995</v>
      </c>
      <c r="P78" s="1">
        <f t="shared" si="57"/>
        <v>9.2210999999999999</v>
      </c>
      <c r="Q78" s="1">
        <f t="shared" si="58"/>
        <v>0.19993201344457087</v>
      </c>
      <c r="R78" s="1">
        <f t="shared" si="53"/>
        <v>3.1796896551724139</v>
      </c>
      <c r="S78" s="1">
        <f t="shared" si="54"/>
        <v>6.8942073601576156E-2</v>
      </c>
    </row>
    <row r="79" spans="1:19" ht="29" x14ac:dyDescent="0.35">
      <c r="A79" s="1" t="s">
        <v>83</v>
      </c>
      <c r="B79" s="1">
        <f xml:space="preserve"> 20.205</f>
        <v>20.204999999999998</v>
      </c>
      <c r="C79" s="1">
        <f xml:space="preserve"> 18.748</f>
        <v>18.748000000000001</v>
      </c>
      <c r="D79" s="1">
        <f xml:space="preserve"> 18.549</f>
        <v>18.548999999999999</v>
      </c>
      <c r="E79" s="1">
        <f t="shared" si="55"/>
        <v>19.167333333333335</v>
      </c>
      <c r="F79" s="1">
        <f t="shared" si="56"/>
        <v>0.90413734207438379</v>
      </c>
      <c r="G79" s="1">
        <f t="shared" si="51"/>
        <v>6.6094252873563226</v>
      </c>
      <c r="H79" s="1">
        <f t="shared" si="52"/>
        <v>0.31177149726702891</v>
      </c>
      <c r="L79" s="1" t="s">
        <v>83</v>
      </c>
      <c r="M79" s="1">
        <f xml:space="preserve"> 9.9533</f>
        <v>9.9533000000000005</v>
      </c>
      <c r="N79" s="1">
        <f xml:space="preserve"> 10.11</f>
        <v>10.11</v>
      </c>
      <c r="O79" s="1">
        <f xml:space="preserve"> 10.038</f>
        <v>10.038</v>
      </c>
      <c r="P79" s="1">
        <f t="shared" si="57"/>
        <v>10.033766666666667</v>
      </c>
      <c r="Q79" s="1">
        <f t="shared" si="58"/>
        <v>7.8435727403608962E-2</v>
      </c>
      <c r="R79" s="1">
        <f t="shared" si="53"/>
        <v>3.4599195402298855</v>
      </c>
      <c r="S79" s="1">
        <f t="shared" si="54"/>
        <v>2.7046802552968607E-2</v>
      </c>
    </row>
    <row r="80" spans="1:19" ht="29" x14ac:dyDescent="0.35">
      <c r="A80" s="1" t="s">
        <v>84</v>
      </c>
      <c r="B80" s="1">
        <f xml:space="preserve"> 18.303</f>
        <v>18.303000000000001</v>
      </c>
      <c r="C80" s="1">
        <f xml:space="preserve"> 18.287</f>
        <v>18.286999999999999</v>
      </c>
      <c r="D80" s="1">
        <f xml:space="preserve"> 19.121</f>
        <v>19.120999999999999</v>
      </c>
      <c r="E80" s="1">
        <f t="shared" si="55"/>
        <v>18.570333333333334</v>
      </c>
      <c r="F80" s="1">
        <f t="shared" si="56"/>
        <v>0.47695841887247642</v>
      </c>
      <c r="G80" s="1">
        <f t="shared" si="51"/>
        <v>6.4035632183908051</v>
      </c>
      <c r="H80" s="1">
        <f t="shared" si="52"/>
        <v>0.16446842030085396</v>
      </c>
      <c r="L80" s="1" t="s">
        <v>84</v>
      </c>
      <c r="M80" s="1">
        <f xml:space="preserve"> 9.951</f>
        <v>9.9510000000000005</v>
      </c>
      <c r="N80" s="1">
        <f xml:space="preserve"> 10.275</f>
        <v>10.275</v>
      </c>
      <c r="O80" s="1">
        <f xml:space="preserve"> 10.218</f>
        <v>10.218</v>
      </c>
      <c r="P80" s="1">
        <f t="shared" si="57"/>
        <v>10.148</v>
      </c>
      <c r="Q80" s="1">
        <f t="shared" si="58"/>
        <v>0.17297109585130097</v>
      </c>
      <c r="R80" s="1">
        <f t="shared" si="53"/>
        <v>3.499310344827586</v>
      </c>
      <c r="S80" s="1">
        <f t="shared" si="54"/>
        <v>5.9645205465965856E-2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zoomScale="70" zoomScaleNormal="70" workbookViewId="0">
      <selection activeCell="D1" sqref="D1"/>
    </sheetView>
  </sheetViews>
  <sheetFormatPr defaultRowHeight="14.5" x14ac:dyDescent="0.35"/>
  <cols>
    <col min="1" max="1" width="20.36328125" style="1" customWidth="1"/>
    <col min="2" max="2" width="14" style="1" customWidth="1"/>
    <col min="3" max="3" width="14.6328125" style="1" customWidth="1"/>
    <col min="4" max="4" width="12.08984375" style="1" customWidth="1"/>
    <col min="5" max="5" width="12.54296875" style="1" customWidth="1"/>
    <col min="6" max="6" width="8.453125" style="1" bestFit="1" customWidth="1"/>
    <col min="7" max="10" width="8.7265625" style="1"/>
    <col min="11" max="11" width="16.7265625" style="1" bestFit="1" customWidth="1"/>
    <col min="12" max="12" width="14" style="1" customWidth="1"/>
    <col min="13" max="13" width="14.7265625" style="1" customWidth="1"/>
    <col min="14" max="14" width="13.08984375" style="1" customWidth="1"/>
    <col min="15" max="16384" width="8.7265625" style="1"/>
  </cols>
  <sheetData>
    <row r="1" spans="1:18" ht="29" x14ac:dyDescent="0.35">
      <c r="A1" s="1" t="s">
        <v>11</v>
      </c>
      <c r="B1" s="1">
        <f xml:space="preserve"> 290</f>
        <v>290</v>
      </c>
      <c r="C1" s="1" t="s">
        <v>45</v>
      </c>
    </row>
    <row r="3" spans="1:18" ht="29" x14ac:dyDescent="0.35">
      <c r="A3" s="1" t="s">
        <v>0</v>
      </c>
      <c r="K3" s="1" t="s">
        <v>42</v>
      </c>
    </row>
    <row r="4" spans="1:18" x14ac:dyDescent="0.35">
      <c r="A4" s="1" t="s">
        <v>1</v>
      </c>
      <c r="B4" s="1" t="s">
        <v>4</v>
      </c>
      <c r="C4" s="1" t="s">
        <v>14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K4" s="1" t="s">
        <v>1</v>
      </c>
      <c r="L4" s="1" t="s">
        <v>4</v>
      </c>
      <c r="M4" s="1" t="s">
        <v>5</v>
      </c>
      <c r="N4" s="1" t="s">
        <v>6</v>
      </c>
      <c r="O4" s="1" t="s">
        <v>7</v>
      </c>
      <c r="P4" s="1" t="s">
        <v>8</v>
      </c>
      <c r="Q4" s="1" t="s">
        <v>9</v>
      </c>
      <c r="R4" s="1" t="s">
        <v>10</v>
      </c>
    </row>
    <row r="5" spans="1:18" x14ac:dyDescent="0.35">
      <c r="A5" s="1" t="s">
        <v>15</v>
      </c>
      <c r="C5" s="2"/>
      <c r="K5" s="1" t="s">
        <v>15</v>
      </c>
    </row>
    <row r="6" spans="1:18" x14ac:dyDescent="0.35">
      <c r="A6" s="1" t="s">
        <v>12</v>
      </c>
      <c r="K6" s="1" t="s">
        <v>12</v>
      </c>
    </row>
    <row r="7" spans="1:18" x14ac:dyDescent="0.35">
      <c r="A7" s="1" t="s">
        <v>2</v>
      </c>
      <c r="K7" s="1" t="s">
        <v>2</v>
      </c>
    </row>
    <row r="9" spans="1:18" ht="29" x14ac:dyDescent="0.35">
      <c r="A9" s="1" t="s">
        <v>3</v>
      </c>
      <c r="K9" s="1" t="s">
        <v>43</v>
      </c>
    </row>
    <row r="10" spans="1:18" x14ac:dyDescent="0.35">
      <c r="A10" s="1" t="s">
        <v>1</v>
      </c>
      <c r="B10" s="1" t="s">
        <v>4</v>
      </c>
      <c r="C10" s="1" t="s">
        <v>14</v>
      </c>
      <c r="D10" s="1" t="s">
        <v>5</v>
      </c>
      <c r="E10" s="1" t="s">
        <v>6</v>
      </c>
      <c r="F10" s="1" t="s">
        <v>7</v>
      </c>
      <c r="G10" s="1" t="s">
        <v>8</v>
      </c>
      <c r="H10" s="1" t="s">
        <v>9</v>
      </c>
      <c r="I10" s="1" t="s">
        <v>10</v>
      </c>
      <c r="K10" s="1" t="s">
        <v>1</v>
      </c>
      <c r="L10" s="1" t="s">
        <v>4</v>
      </c>
      <c r="M10" s="1" t="s">
        <v>5</v>
      </c>
      <c r="N10" s="1" t="s">
        <v>6</v>
      </c>
      <c r="O10" s="1" t="s">
        <v>7</v>
      </c>
      <c r="P10" s="1" t="s">
        <v>8</v>
      </c>
      <c r="Q10" s="1" t="s">
        <v>9</v>
      </c>
      <c r="R10" s="1" t="s">
        <v>10</v>
      </c>
    </row>
    <row r="11" spans="1:18" x14ac:dyDescent="0.35">
      <c r="A11" s="1" t="s">
        <v>15</v>
      </c>
      <c r="K11" s="1" t="s">
        <v>15</v>
      </c>
    </row>
    <row r="12" spans="1:18" x14ac:dyDescent="0.35">
      <c r="A12" s="1" t="s">
        <v>12</v>
      </c>
      <c r="K12" s="1" t="s">
        <v>12</v>
      </c>
    </row>
    <row r="13" spans="1:18" x14ac:dyDescent="0.35">
      <c r="A13" s="1" t="s">
        <v>2</v>
      </c>
      <c r="K13" s="1" t="s">
        <v>2</v>
      </c>
    </row>
    <row r="15" spans="1:18" ht="29" x14ac:dyDescent="0.35">
      <c r="A15" s="1" t="s">
        <v>41</v>
      </c>
      <c r="K15" s="1" t="s">
        <v>44</v>
      </c>
    </row>
    <row r="16" spans="1:18" x14ac:dyDescent="0.35">
      <c r="A16" s="1" t="s">
        <v>1</v>
      </c>
      <c r="B16" s="1" t="s">
        <v>4</v>
      </c>
      <c r="D16" s="1" t="s">
        <v>5</v>
      </c>
      <c r="E16" s="1" t="s">
        <v>6</v>
      </c>
      <c r="F16" s="1" t="s">
        <v>7</v>
      </c>
      <c r="G16" s="1" t="s">
        <v>8</v>
      </c>
      <c r="H16" s="1" t="s">
        <v>9</v>
      </c>
      <c r="I16" s="1" t="s">
        <v>10</v>
      </c>
      <c r="K16" s="1" t="s">
        <v>1</v>
      </c>
      <c r="L16" s="1" t="s">
        <v>4</v>
      </c>
      <c r="M16" s="1" t="s">
        <v>5</v>
      </c>
      <c r="N16" s="1" t="s">
        <v>6</v>
      </c>
      <c r="O16" s="1" t="s">
        <v>7</v>
      </c>
      <c r="P16" s="1" t="s">
        <v>8</v>
      </c>
      <c r="Q16" s="1" t="s">
        <v>9</v>
      </c>
      <c r="R16" s="1" t="s">
        <v>10</v>
      </c>
    </row>
    <row r="17" spans="1:14" x14ac:dyDescent="0.35">
      <c r="A17" s="1" t="s">
        <v>15</v>
      </c>
      <c r="K17" s="1" t="s">
        <v>15</v>
      </c>
    </row>
    <row r="18" spans="1:14" x14ac:dyDescent="0.35">
      <c r="A18" s="1" t="s">
        <v>12</v>
      </c>
      <c r="K18" s="1" t="s">
        <v>12</v>
      </c>
    </row>
    <row r="19" spans="1:14" x14ac:dyDescent="0.35">
      <c r="A19" s="1" t="s">
        <v>2</v>
      </c>
      <c r="K19" s="1" t="s">
        <v>2</v>
      </c>
    </row>
    <row r="22" spans="1:14" x14ac:dyDescent="0.35">
      <c r="K22"/>
      <c r="L22"/>
      <c r="M22"/>
      <c r="N22"/>
    </row>
    <row r="23" spans="1:14" x14ac:dyDescent="0.35">
      <c r="K23"/>
      <c r="L23"/>
      <c r="M23"/>
      <c r="N23"/>
    </row>
    <row r="24" spans="1:14" x14ac:dyDescent="0.35">
      <c r="K24"/>
      <c r="L24"/>
      <c r="M24"/>
      <c r="N2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DF512-0B56-457C-A122-4C624F6EE9CE}">
  <dimension ref="A1:R24"/>
  <sheetViews>
    <sheetView zoomScale="70" zoomScaleNormal="70" workbookViewId="0">
      <selection activeCell="H9" sqref="H9"/>
    </sheetView>
  </sheetViews>
  <sheetFormatPr defaultRowHeight="14.5" x14ac:dyDescent="0.35"/>
  <cols>
    <col min="1" max="1" width="20.36328125" style="1" customWidth="1"/>
    <col min="2" max="5" width="9.81640625" style="1" bestFit="1" customWidth="1"/>
    <col min="6" max="6" width="8.453125" style="1" bestFit="1" customWidth="1"/>
    <col min="7" max="10" width="8.7265625" style="1"/>
    <col min="11" max="11" width="16.7265625" style="1" bestFit="1" customWidth="1"/>
    <col min="12" max="13" width="9.81640625" style="1" bestFit="1" customWidth="1"/>
    <col min="14" max="14" width="11.1796875" style="1" customWidth="1"/>
    <col min="15" max="16384" width="8.7265625" style="1"/>
  </cols>
  <sheetData>
    <row r="1" spans="1:18" ht="29" x14ac:dyDescent="0.35">
      <c r="A1" s="1" t="s">
        <v>11</v>
      </c>
      <c r="B1" s="1">
        <f xml:space="preserve"> 290</f>
        <v>290</v>
      </c>
      <c r="C1" s="1" t="s">
        <v>45</v>
      </c>
    </row>
    <row r="3" spans="1:18" ht="29" x14ac:dyDescent="0.35">
      <c r="A3" s="1" t="s">
        <v>0</v>
      </c>
      <c r="K3" s="1" t="s">
        <v>42</v>
      </c>
    </row>
    <row r="4" spans="1:18" x14ac:dyDescent="0.35">
      <c r="A4" s="1" t="s">
        <v>1</v>
      </c>
      <c r="B4" s="1" t="s">
        <v>4</v>
      </c>
      <c r="C4" s="1" t="s">
        <v>14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K4" s="1" t="s">
        <v>1</v>
      </c>
      <c r="L4" s="1" t="s">
        <v>4</v>
      </c>
      <c r="M4" s="1" t="s">
        <v>5</v>
      </c>
      <c r="N4" s="1" t="s">
        <v>6</v>
      </c>
      <c r="O4" s="1" t="s">
        <v>7</v>
      </c>
      <c r="P4" s="1" t="s">
        <v>8</v>
      </c>
      <c r="Q4" s="1" t="s">
        <v>9</v>
      </c>
      <c r="R4" s="1" t="s">
        <v>10</v>
      </c>
    </row>
    <row r="5" spans="1:18" x14ac:dyDescent="0.35">
      <c r="A5" s="1" t="s">
        <v>15</v>
      </c>
      <c r="C5" s="2"/>
      <c r="K5" s="1" t="s">
        <v>15</v>
      </c>
    </row>
    <row r="6" spans="1:18" x14ac:dyDescent="0.35">
      <c r="A6" s="1" t="s">
        <v>12</v>
      </c>
      <c r="K6" s="1" t="s">
        <v>12</v>
      </c>
    </row>
    <row r="7" spans="1:18" x14ac:dyDescent="0.35">
      <c r="A7" s="1" t="s">
        <v>2</v>
      </c>
      <c r="K7" s="1" t="s">
        <v>2</v>
      </c>
    </row>
    <row r="9" spans="1:18" ht="29" x14ac:dyDescent="0.35">
      <c r="A9" s="1" t="s">
        <v>3</v>
      </c>
      <c r="K9" s="1" t="s">
        <v>43</v>
      </c>
    </row>
    <row r="10" spans="1:18" x14ac:dyDescent="0.35">
      <c r="A10" s="1" t="s">
        <v>1</v>
      </c>
      <c r="B10" s="1" t="s">
        <v>4</v>
      </c>
      <c r="C10" s="1" t="s">
        <v>14</v>
      </c>
      <c r="D10" s="1" t="s">
        <v>5</v>
      </c>
      <c r="E10" s="1" t="s">
        <v>6</v>
      </c>
      <c r="F10" s="1" t="s">
        <v>7</v>
      </c>
      <c r="G10" s="1" t="s">
        <v>8</v>
      </c>
      <c r="H10" s="1" t="s">
        <v>9</v>
      </c>
      <c r="I10" s="1" t="s">
        <v>10</v>
      </c>
      <c r="K10" s="1" t="s">
        <v>1</v>
      </c>
      <c r="L10" s="1" t="s">
        <v>4</v>
      </c>
      <c r="M10" s="1" t="s">
        <v>5</v>
      </c>
      <c r="N10" s="1" t="s">
        <v>6</v>
      </c>
      <c r="O10" s="1" t="s">
        <v>7</v>
      </c>
      <c r="P10" s="1" t="s">
        <v>8</v>
      </c>
      <c r="Q10" s="1" t="s">
        <v>9</v>
      </c>
      <c r="R10" s="1" t="s">
        <v>10</v>
      </c>
    </row>
    <row r="11" spans="1:18" x14ac:dyDescent="0.35">
      <c r="A11" s="1" t="s">
        <v>15</v>
      </c>
      <c r="K11" s="1" t="s">
        <v>15</v>
      </c>
    </row>
    <row r="12" spans="1:18" x14ac:dyDescent="0.35">
      <c r="A12" s="1" t="s">
        <v>12</v>
      </c>
      <c r="K12" s="1" t="s">
        <v>12</v>
      </c>
    </row>
    <row r="13" spans="1:18" x14ac:dyDescent="0.35">
      <c r="A13" s="1" t="s">
        <v>2</v>
      </c>
      <c r="K13" s="1" t="s">
        <v>2</v>
      </c>
    </row>
    <row r="15" spans="1:18" ht="29" x14ac:dyDescent="0.35">
      <c r="A15" s="1" t="s">
        <v>41</v>
      </c>
      <c r="K15" s="1" t="s">
        <v>44</v>
      </c>
    </row>
    <row r="16" spans="1:18" x14ac:dyDescent="0.35">
      <c r="A16" s="1" t="s">
        <v>1</v>
      </c>
      <c r="B16" s="1" t="s">
        <v>4</v>
      </c>
      <c r="D16" s="1" t="s">
        <v>5</v>
      </c>
      <c r="E16" s="1" t="s">
        <v>6</v>
      </c>
      <c r="F16" s="1" t="s">
        <v>7</v>
      </c>
      <c r="G16" s="1" t="s">
        <v>8</v>
      </c>
      <c r="H16" s="1" t="s">
        <v>9</v>
      </c>
      <c r="I16" s="1" t="s">
        <v>10</v>
      </c>
      <c r="K16" s="1" t="s">
        <v>1</v>
      </c>
      <c r="L16" s="1" t="s">
        <v>4</v>
      </c>
      <c r="M16" s="1" t="s">
        <v>5</v>
      </c>
      <c r="N16" s="1" t="s">
        <v>6</v>
      </c>
      <c r="O16" s="1" t="s">
        <v>7</v>
      </c>
      <c r="P16" s="1" t="s">
        <v>8</v>
      </c>
      <c r="Q16" s="1" t="s">
        <v>9</v>
      </c>
      <c r="R16" s="1" t="s">
        <v>10</v>
      </c>
    </row>
    <row r="17" spans="1:14" x14ac:dyDescent="0.35">
      <c r="A17" s="1" t="s">
        <v>15</v>
      </c>
      <c r="K17" s="1" t="s">
        <v>15</v>
      </c>
    </row>
    <row r="18" spans="1:14" x14ac:dyDescent="0.35">
      <c r="A18" s="1" t="s">
        <v>12</v>
      </c>
      <c r="K18" s="1" t="s">
        <v>12</v>
      </c>
    </row>
    <row r="19" spans="1:14" x14ac:dyDescent="0.35">
      <c r="A19" s="1" t="s">
        <v>2</v>
      </c>
      <c r="K19" s="1" t="s">
        <v>2</v>
      </c>
    </row>
    <row r="22" spans="1:14" x14ac:dyDescent="0.35">
      <c r="K22"/>
      <c r="L22"/>
      <c r="M22"/>
      <c r="N22"/>
    </row>
    <row r="23" spans="1:14" x14ac:dyDescent="0.35">
      <c r="K23"/>
      <c r="L23"/>
      <c r="M23"/>
      <c r="N23"/>
    </row>
    <row r="24" spans="1:14" x14ac:dyDescent="0.35">
      <c r="K24"/>
      <c r="L24"/>
      <c r="M24"/>
      <c r="N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DataAnalysis</vt:lpstr>
      <vt:lpstr>Results_FirstHeatingCurve</vt:lpstr>
      <vt:lpstr>Results_SecondHeatingCurve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Liu</dc:creator>
  <cp:lastModifiedBy>Alan Liu</cp:lastModifiedBy>
  <dcterms:created xsi:type="dcterms:W3CDTF">2015-06-05T18:17:20Z</dcterms:created>
  <dcterms:modified xsi:type="dcterms:W3CDTF">2024-04-22T23:05:32Z</dcterms:modified>
</cp:coreProperties>
</file>