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G:\Shared drives\Dauskardt-Lab\Liu_Alan\DuraMAT_Research\Experimental_Data\"/>
    </mc:Choice>
  </mc:AlternateContent>
  <xr:revisionPtr revIDLastSave="0" documentId="13_ncr:1_{EAA9AA39-4515-4F28-AA56-00D822A81DEB}" xr6:coauthVersionLast="47" xr6:coauthVersionMax="47" xr10:uidLastSave="{00000000-0000-0000-0000-000000000000}"/>
  <bookViews>
    <workbookView xWindow="5610" yWindow="420" windowWidth="11160" windowHeight="9160" xr2:uid="{00000000-000D-0000-FFFF-FFFF00000000}"/>
  </bookViews>
  <sheets>
    <sheet name="DataAnalysi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2" l="1"/>
  <c r="D31" i="2"/>
  <c r="K31" i="2"/>
  <c r="C31" i="2"/>
  <c r="J31" i="2"/>
  <c r="B31" i="2"/>
  <c r="L30" i="2"/>
  <c r="D30" i="2"/>
  <c r="K30" i="2"/>
  <c r="C30" i="2"/>
  <c r="J30" i="2"/>
  <c r="B30" i="2"/>
  <c r="L28" i="2"/>
  <c r="D28" i="2"/>
  <c r="K28" i="2"/>
  <c r="C28" i="2"/>
  <c r="J28" i="2"/>
  <c r="B28" i="2"/>
  <c r="L29" i="2"/>
  <c r="D29" i="2"/>
  <c r="K29" i="2"/>
  <c r="C29" i="2"/>
  <c r="J29" i="2"/>
  <c r="B29" i="2"/>
  <c r="L33" i="2"/>
  <c r="D33" i="2"/>
  <c r="K33" i="2"/>
  <c r="C33" i="2"/>
  <c r="J33" i="2"/>
  <c r="B33" i="2"/>
  <c r="L32" i="2"/>
  <c r="D32" i="2"/>
  <c r="K32" i="2"/>
  <c r="C32" i="2"/>
  <c r="J32" i="2"/>
  <c r="B32" i="2"/>
  <c r="N64" i="2"/>
  <c r="N65" i="2"/>
  <c r="N66" i="2"/>
  <c r="N67" i="2"/>
  <c r="N68" i="2"/>
  <c r="N63" i="2"/>
  <c r="M64" i="2"/>
  <c r="M65" i="2"/>
  <c r="M66" i="2"/>
  <c r="M67" i="2"/>
  <c r="M68" i="2"/>
  <c r="M63" i="2"/>
  <c r="F64" i="2"/>
  <c r="F65" i="2"/>
  <c r="F66" i="2"/>
  <c r="F67" i="2"/>
  <c r="F68" i="2"/>
  <c r="F63" i="2"/>
  <c r="E64" i="2"/>
  <c r="E65" i="2"/>
  <c r="E66" i="2"/>
  <c r="E67" i="2"/>
  <c r="E68" i="2"/>
  <c r="E63" i="2"/>
  <c r="L65" i="2"/>
  <c r="D65" i="2"/>
  <c r="K65" i="2"/>
  <c r="C65" i="2"/>
  <c r="J65" i="2"/>
  <c r="B65" i="2"/>
  <c r="L66" i="2"/>
  <c r="D66" i="2"/>
  <c r="K66" i="2"/>
  <c r="C66" i="2"/>
  <c r="J66" i="2"/>
  <c r="B66" i="2"/>
  <c r="D63" i="2"/>
  <c r="L63" i="2"/>
  <c r="K63" i="2"/>
  <c r="C63" i="2"/>
  <c r="J63" i="2"/>
  <c r="B63" i="2"/>
  <c r="L64" i="2"/>
  <c r="D64" i="2"/>
  <c r="K64" i="2"/>
  <c r="C64" i="2"/>
  <c r="J64" i="2"/>
  <c r="B64" i="2"/>
  <c r="L67" i="2"/>
  <c r="D67" i="2"/>
  <c r="K67" i="2"/>
  <c r="C67" i="2"/>
  <c r="J67" i="2"/>
  <c r="B67" i="2"/>
  <c r="L68" i="2"/>
  <c r="D68" i="2"/>
  <c r="K68" i="2"/>
  <c r="C68" i="2"/>
  <c r="J68" i="2"/>
  <c r="B68" i="2"/>
  <c r="L58" i="2"/>
  <c r="D58" i="2"/>
  <c r="K58" i="2"/>
  <c r="C58" i="2"/>
  <c r="J58" i="2"/>
  <c r="B58" i="2"/>
  <c r="L56" i="2"/>
  <c r="D56" i="2"/>
  <c r="K56" i="2"/>
  <c r="C56" i="2"/>
  <c r="J56" i="2"/>
  <c r="B56" i="2"/>
  <c r="L60" i="2"/>
  <c r="D60" i="2"/>
  <c r="K60" i="2"/>
  <c r="C60" i="2"/>
  <c r="J60" i="2"/>
  <c r="B60" i="2"/>
  <c r="D47" i="2"/>
  <c r="L47" i="2"/>
  <c r="K47" i="2"/>
  <c r="C47" i="2"/>
  <c r="J47" i="2"/>
  <c r="B47" i="2"/>
  <c r="J49" i="2"/>
  <c r="B49" i="2"/>
  <c r="K49" i="2"/>
  <c r="C49" i="2"/>
  <c r="L49" i="2"/>
  <c r="D49" i="2"/>
  <c r="L51" i="2"/>
  <c r="D51" i="2"/>
  <c r="K51" i="2"/>
  <c r="C51" i="2"/>
  <c r="J51" i="2"/>
  <c r="B51" i="2"/>
  <c r="L40" i="2"/>
  <c r="D40" i="2"/>
  <c r="K40" i="2"/>
  <c r="C40" i="2"/>
  <c r="J40" i="2"/>
  <c r="B40" i="2"/>
  <c r="L38" i="2"/>
  <c r="D38" i="2"/>
  <c r="K38" i="2"/>
  <c r="C38" i="2"/>
  <c r="J38" i="2"/>
  <c r="B38" i="2"/>
  <c r="L42" i="2"/>
  <c r="D42" i="2"/>
  <c r="K42" i="2"/>
  <c r="C42" i="2"/>
  <c r="J42" i="2"/>
  <c r="B42" i="2"/>
  <c r="D22" i="2"/>
  <c r="L22" i="2"/>
  <c r="C22" i="2"/>
  <c r="K22" i="2"/>
  <c r="J22" i="2"/>
  <c r="B22" i="2"/>
  <c r="D19" i="2"/>
  <c r="L19" i="2"/>
  <c r="K19" i="2"/>
  <c r="C19" i="2"/>
  <c r="B19" i="2"/>
  <c r="J19" i="2"/>
  <c r="L20" i="2"/>
  <c r="D20" i="2"/>
  <c r="K20" i="2"/>
  <c r="J20" i="2"/>
  <c r="B20" i="2"/>
  <c r="J21" i="2"/>
  <c r="B21" i="2"/>
  <c r="K21" i="2"/>
  <c r="C21" i="2"/>
  <c r="L21" i="2"/>
  <c r="D21" i="2"/>
  <c r="D24" i="2"/>
  <c r="L24" i="2"/>
  <c r="K24" i="2"/>
  <c r="C24" i="2"/>
  <c r="J24" i="2"/>
  <c r="B24" i="2"/>
  <c r="D23" i="2"/>
  <c r="L23" i="2"/>
  <c r="K23" i="2"/>
  <c r="C23" i="2"/>
  <c r="J23" i="2"/>
  <c r="B23" i="2"/>
  <c r="L9" i="2"/>
  <c r="K9" i="2"/>
  <c r="J9" i="2"/>
  <c r="N9" i="2" s="1"/>
  <c r="L8" i="2"/>
  <c r="L7" i="2"/>
  <c r="K8" i="2"/>
  <c r="J8" i="2"/>
  <c r="K7" i="2"/>
  <c r="J7" i="2"/>
  <c r="L57" i="2"/>
  <c r="K57" i="2"/>
  <c r="J57" i="2"/>
  <c r="L55" i="2"/>
  <c r="K55" i="2"/>
  <c r="J55" i="2"/>
  <c r="L59" i="2"/>
  <c r="K59" i="2"/>
  <c r="J59" i="2"/>
  <c r="D57" i="2"/>
  <c r="B57" i="2"/>
  <c r="D55" i="2"/>
  <c r="C55" i="2"/>
  <c r="B55" i="2"/>
  <c r="D59" i="2"/>
  <c r="C59" i="2"/>
  <c r="B59" i="2"/>
  <c r="L48" i="2"/>
  <c r="K48" i="2"/>
  <c r="J48" i="2"/>
  <c r="L46" i="2"/>
  <c r="K46" i="2"/>
  <c r="J46" i="2"/>
  <c r="D48" i="2"/>
  <c r="C48" i="2"/>
  <c r="B48" i="2"/>
  <c r="D46" i="2"/>
  <c r="C46" i="2"/>
  <c r="B46" i="2"/>
  <c r="L50" i="2"/>
  <c r="K50" i="2"/>
  <c r="J50" i="2"/>
  <c r="D50" i="2"/>
  <c r="C50" i="2"/>
  <c r="B50" i="2"/>
  <c r="L41" i="2"/>
  <c r="K41" i="2"/>
  <c r="J41" i="2"/>
  <c r="D41" i="2"/>
  <c r="C41" i="2"/>
  <c r="B41" i="2"/>
  <c r="L39" i="2"/>
  <c r="K39" i="2"/>
  <c r="J39" i="2"/>
  <c r="L37" i="2"/>
  <c r="K37" i="2"/>
  <c r="J37" i="2"/>
  <c r="D39" i="2"/>
  <c r="C39" i="2"/>
  <c r="B39" i="2"/>
  <c r="D37" i="2"/>
  <c r="C37" i="2"/>
  <c r="B37" i="2"/>
  <c r="J15" i="2"/>
  <c r="K15" i="2"/>
  <c r="L15" i="2"/>
  <c r="D15" i="2"/>
  <c r="C15" i="2"/>
  <c r="B15" i="2"/>
  <c r="D14" i="2"/>
  <c r="C14" i="2"/>
  <c r="B14" i="2"/>
  <c r="L14" i="2"/>
  <c r="K14" i="2"/>
  <c r="J14" i="2"/>
  <c r="L5" i="2"/>
  <c r="K5" i="2"/>
  <c r="J5" i="2"/>
  <c r="L4" i="2"/>
  <c r="K4" i="2"/>
  <c r="J4" i="2"/>
  <c r="K6" i="2"/>
  <c r="J6" i="2"/>
  <c r="N51" i="2"/>
  <c r="N7" i="2" l="1"/>
  <c r="M7" i="2"/>
  <c r="M9" i="2"/>
  <c r="N8" i="2"/>
  <c r="M8" i="2"/>
  <c r="F38" i="2"/>
  <c r="N55" i="2"/>
  <c r="N58" i="2"/>
  <c r="M51" i="2"/>
  <c r="E47" i="2"/>
  <c r="M37" i="2"/>
  <c r="E21" i="2"/>
  <c r="N50" i="2"/>
  <c r="F6" i="2"/>
  <c r="N47" i="2"/>
  <c r="F59" i="2"/>
  <c r="E14" i="2"/>
  <c r="N48" i="2"/>
  <c r="E55" i="2"/>
  <c r="E23" i="2"/>
  <c r="N42" i="2"/>
  <c r="F15" i="2"/>
  <c r="M38" i="2"/>
  <c r="N49" i="2"/>
  <c r="F14" i="2"/>
  <c r="N24" i="2"/>
  <c r="N29" i="2"/>
  <c r="M31" i="2"/>
  <c r="N59" i="2"/>
  <c r="E58" i="2"/>
  <c r="M56" i="2"/>
  <c r="E39" i="2"/>
  <c r="E22" i="2"/>
  <c r="E51" i="2"/>
  <c r="N19" i="2"/>
  <c r="M32" i="2"/>
  <c r="F50" i="2"/>
  <c r="F20" i="2"/>
  <c r="F48" i="2"/>
  <c r="E41" i="2"/>
  <c r="E50" i="2"/>
  <c r="M47" i="2"/>
  <c r="F57" i="2"/>
  <c r="E60" i="2"/>
  <c r="E59" i="2"/>
  <c r="N60" i="2"/>
  <c r="M23" i="2"/>
  <c r="E57" i="2"/>
  <c r="N15" i="2"/>
  <c r="F39" i="2"/>
  <c r="F23" i="2"/>
  <c r="M49" i="2"/>
  <c r="F55" i="2"/>
  <c r="E19" i="2"/>
  <c r="F22" i="2"/>
  <c r="N40" i="2"/>
  <c r="F49" i="2"/>
  <c r="F60" i="2"/>
  <c r="M58" i="2"/>
  <c r="M60" i="2"/>
  <c r="F21" i="2"/>
  <c r="F40" i="2"/>
  <c r="F28" i="2"/>
  <c r="E15" i="2"/>
  <c r="N37" i="2"/>
  <c r="N31" i="2"/>
  <c r="F47" i="2"/>
  <c r="E56" i="2"/>
  <c r="N28" i="2"/>
  <c r="F37" i="2"/>
  <c r="E24" i="2"/>
  <c r="F32" i="2"/>
  <c r="E33" i="2"/>
  <c r="F31" i="2"/>
  <c r="E6" i="2"/>
  <c r="N46" i="2"/>
  <c r="N41" i="2"/>
  <c r="N20" i="2"/>
  <c r="M42" i="2"/>
  <c r="N56" i="2"/>
  <c r="F58" i="2"/>
  <c r="F56" i="2"/>
  <c r="F51" i="2"/>
  <c r="N57" i="2"/>
  <c r="M59" i="2"/>
  <c r="M55" i="2"/>
  <c r="M57" i="2"/>
  <c r="M50" i="2"/>
  <c r="E49" i="2"/>
  <c r="M41" i="2"/>
  <c r="M40" i="2"/>
  <c r="N38" i="2"/>
  <c r="E40" i="2"/>
  <c r="E38" i="2"/>
  <c r="E42" i="2"/>
  <c r="F42" i="2"/>
  <c r="F41" i="2"/>
  <c r="M48" i="2"/>
  <c r="E48" i="2"/>
  <c r="F46" i="2"/>
  <c r="E46" i="2"/>
  <c r="M46" i="2"/>
  <c r="E4" i="2"/>
  <c r="N30" i="2"/>
  <c r="N4" i="2"/>
  <c r="N14" i="2"/>
  <c r="M21" i="2"/>
  <c r="E5" i="2"/>
  <c r="N22" i="2"/>
  <c r="N6" i="2"/>
  <c r="N5" i="2"/>
  <c r="M15" i="2"/>
  <c r="M22" i="2"/>
  <c r="F33" i="2"/>
  <c r="M28" i="2"/>
  <c r="E30" i="2"/>
  <c r="F4" i="2"/>
  <c r="F19" i="2"/>
  <c r="M20" i="2"/>
  <c r="M5" i="2"/>
  <c r="F30" i="2"/>
  <c r="M29" i="2"/>
  <c r="F5" i="2"/>
  <c r="N21" i="2"/>
  <c r="M30" i="2"/>
  <c r="M4" i="2"/>
  <c r="M14" i="2"/>
  <c r="M19" i="2"/>
  <c r="E28" i="2"/>
  <c r="E37" i="2"/>
  <c r="E20" i="2"/>
  <c r="N39" i="2"/>
  <c r="N32" i="2"/>
  <c r="M6" i="2"/>
  <c r="E31" i="2"/>
  <c r="F29" i="2"/>
  <c r="E29" i="2"/>
  <c r="M33" i="2"/>
  <c r="N33" i="2"/>
  <c r="E32" i="2"/>
  <c r="M24" i="2"/>
  <c r="F24" i="2"/>
  <c r="N23" i="2"/>
  <c r="M39" i="2"/>
</calcChain>
</file>

<file path=xl/sharedStrings.xml><?xml version="1.0" encoding="utf-8"?>
<sst xmlns="http://schemas.openxmlformats.org/spreadsheetml/2006/main" count="192" uniqueCount="63">
  <si>
    <t>Trial 1</t>
  </si>
  <si>
    <t>Trial 2</t>
  </si>
  <si>
    <t>Trial 3</t>
  </si>
  <si>
    <t>Average</t>
  </si>
  <si>
    <t>Std. dev</t>
  </si>
  <si>
    <t>Unaged samples</t>
  </si>
  <si>
    <t>1 week aged samples</t>
  </si>
  <si>
    <t>2 weeks aged samples</t>
  </si>
  <si>
    <t>EVA 5x cured</t>
  </si>
  <si>
    <t>POE 5x cured</t>
  </si>
  <si>
    <t>EPE 5x cured</t>
  </si>
  <si>
    <t>4 weeks aged samples</t>
  </si>
  <si>
    <t>EVA, 90 C, 22% RH, oxidative, no UV, 2 wks</t>
  </si>
  <si>
    <t>EVA, 90 C, inert, no UV, 2 wks</t>
  </si>
  <si>
    <t>POE 90 C, 22% RH, oxidative, no UV, 2 wks</t>
  </si>
  <si>
    <t>POE 90 C, inert, no UV, 2 wks</t>
  </si>
  <si>
    <t>EPE 90 C, 22% RH, oxidative, no UV, 2 wks</t>
  </si>
  <si>
    <t>EPE 90 C, inert, no UV, 2 wks</t>
  </si>
  <si>
    <t>EVA, 90 C, 22% RH, oxidative, no UV, 4 wks</t>
  </si>
  <si>
    <t>EVA, 90 C, inert, no UV, 4 wks</t>
  </si>
  <si>
    <t>POE 90 C, 22% RH, oxidative, no UV, 4 wks</t>
  </si>
  <si>
    <t>POE 90 C, inert, no UV, 4 wks</t>
  </si>
  <si>
    <t>EPE 90 C, 22% RH, oxidative, no UV, 4 wks</t>
  </si>
  <si>
    <t>EPE 90 C, inert, no UV, 4 wks</t>
  </si>
  <si>
    <t>EVA, 90 C, 22% RH, oxidative, no UV, 1 wk</t>
  </si>
  <si>
    <t>POE 90 C, 22% RH, oxidative, no UV, 1 wk</t>
  </si>
  <si>
    <t>8 weeks aged samples</t>
  </si>
  <si>
    <t>EVA, 90 C, 22% RH, oxidative, no UV, 8 wks</t>
  </si>
  <si>
    <t>EVA, 90 C, inert, no UV, 8 wks</t>
  </si>
  <si>
    <t>POE 90 C, 22% RH, oxidative, no UV, 8 wks</t>
  </si>
  <si>
    <t>POE 90 C, inert, no UV, 8 wks</t>
  </si>
  <si>
    <t>EPE 90 C, 22% RH, oxidative, no UV, 8 wks</t>
  </si>
  <si>
    <t>EPE 90 C, inert, no UV, 8 wks</t>
  </si>
  <si>
    <t>14 weeks aged samples</t>
  </si>
  <si>
    <t>EVA, 90 C, 22% RH, oxidative, no UV, 14 wks</t>
  </si>
  <si>
    <t>EVA, 90 C, inert, no UV, 14 wks</t>
  </si>
  <si>
    <t>POE 90 C, 22% RH, oxidative, no UV, 14 wks</t>
  </si>
  <si>
    <t>POE 90 C, inert, no UV, 14 wks</t>
  </si>
  <si>
    <t>EPE 90 C, inert, no UV, 14 wks</t>
  </si>
  <si>
    <t>EPE 90 C, 22% RH, oxidative, no UV, 16 wks + 29 hrs</t>
  </si>
  <si>
    <t>20 weeks aged samples</t>
  </si>
  <si>
    <t>EVA, 90 C, 22% RH, oxidative, no UV, 20 wks</t>
  </si>
  <si>
    <t>EVA, 90 C, inert, no UV, 20 wks</t>
  </si>
  <si>
    <t>POE 90 C, 22% RH, oxidative, no UV, 20 wks</t>
  </si>
  <si>
    <t>POE 90 C, inert, no UV, 20 wks</t>
  </si>
  <si>
    <t>EPE 90 C, 22% RH, oxidative, no UV, 20 wks</t>
  </si>
  <si>
    <t>EPE 90 C, inert, no UV, 20 wks</t>
  </si>
  <si>
    <t>EVA 1x cured</t>
  </si>
  <si>
    <t>POE 1x cured</t>
  </si>
  <si>
    <t>EPE 1x cured</t>
  </si>
  <si>
    <t>"Lower Tg indicates undercure"</t>
  </si>
  <si>
    <t>Greater the degree of X-linking, the lower the Tc is</t>
  </si>
  <si>
    <t>Tg (glass transition temperature)</t>
  </si>
  <si>
    <t>Tc (crystallization temperature)</t>
  </si>
  <si>
    <t>30 weeks aged samples</t>
  </si>
  <si>
    <t>EVA, 90 C, 22% RH, oxidative, no UV, 30 wks</t>
  </si>
  <si>
    <t>EVA, 90 C, inert, no UV, 30 wks</t>
  </si>
  <si>
    <t>POE 90 C, 22% RH, oxidative, no UV, 30 wks</t>
  </si>
  <si>
    <t>POE 90 C, inert, no UV, 30 wks</t>
  </si>
  <si>
    <t>EPE 90 C, 22% RH, oxidative, no UV, 30 wks</t>
  </si>
  <si>
    <t>EPE 90 C, inert, no UV, 30 wks</t>
  </si>
  <si>
    <t>Condition A: 90 Celsius, open-air, no UV</t>
  </si>
  <si>
    <t>Condition B: 90 Celsius, inert, no 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</si>
</sst>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19DA5-5369-4655-AE34-D6F05294E3A0}">
  <dimension ref="A1:N68"/>
  <sheetViews>
    <sheetView tabSelected="1" zoomScale="55" zoomScaleNormal="55" workbookViewId="0">
      <selection activeCell="I14" sqref="I14"/>
    </sheetView>
  </sheetViews>
  <sheetFormatPr defaultRowHeight="14.5" x14ac:dyDescent="0.35"/>
  <cols>
    <col min="1" max="1" width="23.90625" style="1" customWidth="1"/>
    <col min="2" max="4" width="8.81640625" style="1" bestFit="1" customWidth="1"/>
    <col min="5" max="5" width="12.54296875" style="1" bestFit="1" customWidth="1"/>
    <col min="6" max="6" width="11.90625" style="1" bestFit="1" customWidth="1"/>
    <col min="7" max="8" width="8.7265625" style="1"/>
    <col min="9" max="9" width="21.7265625" style="1" customWidth="1"/>
    <col min="10" max="10" width="15.1796875" style="1" bestFit="1" customWidth="1"/>
    <col min="11" max="11" width="8.36328125" style="1" customWidth="1"/>
    <col min="12" max="12" width="6.81640625" style="1" bestFit="1" customWidth="1"/>
    <col min="13" max="14" width="11.90625" style="1" bestFit="1" customWidth="1"/>
    <col min="15" max="16384" width="8.7265625" style="1"/>
  </cols>
  <sheetData>
    <row r="1" spans="1:14" ht="26.5" customHeight="1" x14ac:dyDescent="0.35">
      <c r="A1" s="2" t="s">
        <v>52</v>
      </c>
      <c r="C1" s="4" t="s">
        <v>61</v>
      </c>
      <c r="I1" s="2" t="s">
        <v>53</v>
      </c>
      <c r="K1" s="4" t="s">
        <v>61</v>
      </c>
    </row>
    <row r="2" spans="1:14" ht="26.5" customHeight="1" x14ac:dyDescent="0.35">
      <c r="A2" s="3" t="s">
        <v>50</v>
      </c>
      <c r="C2" s="4" t="s">
        <v>62</v>
      </c>
      <c r="I2" s="3" t="s">
        <v>51</v>
      </c>
      <c r="K2" s="4" t="s">
        <v>62</v>
      </c>
    </row>
    <row r="3" spans="1:14" x14ac:dyDescent="0.35">
      <c r="A3" s="3" t="s">
        <v>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I3" s="3" t="s">
        <v>5</v>
      </c>
      <c r="J3" s="1" t="s">
        <v>0</v>
      </c>
      <c r="K3" s="1" t="s">
        <v>1</v>
      </c>
      <c r="L3" s="1" t="s">
        <v>2</v>
      </c>
      <c r="M3" s="1" t="s">
        <v>3</v>
      </c>
      <c r="N3" s="1" t="s">
        <v>4</v>
      </c>
    </row>
    <row r="4" spans="1:14" x14ac:dyDescent="0.35">
      <c r="A4" s="1" t="s">
        <v>8</v>
      </c>
      <c r="E4" s="1" t="e">
        <f xml:space="preserve"> AVERAGE(B4:D4)</f>
        <v>#DIV/0!</v>
      </c>
      <c r="F4" s="1" t="e">
        <f xml:space="preserve"> _xlfn.STDEV.S(B4:D4)</f>
        <v>#DIV/0!</v>
      </c>
      <c r="I4" s="1" t="s">
        <v>8</v>
      </c>
      <c r="J4" s="1">
        <f xml:space="preserve"> 43.88</f>
        <v>43.88</v>
      </c>
      <c r="K4" s="1">
        <f xml:space="preserve"> 43.87</f>
        <v>43.87</v>
      </c>
      <c r="L4" s="1">
        <f xml:space="preserve"> 43.97</f>
        <v>43.97</v>
      </c>
      <c r="M4" s="1">
        <f xml:space="preserve"> AVERAGE(J4:L4)</f>
        <v>43.906666666666666</v>
      </c>
      <c r="N4" s="1">
        <f xml:space="preserve"> _xlfn.STDEV.S(J4:L4)</f>
        <v>5.50757054728606E-2</v>
      </c>
    </row>
    <row r="5" spans="1:14" x14ac:dyDescent="0.35">
      <c r="A5" s="1" t="s">
        <v>9</v>
      </c>
      <c r="E5" s="1" t="e">
        <f t="shared" ref="E5:E6" si="0" xml:space="preserve"> AVERAGE(B5:D5)</f>
        <v>#DIV/0!</v>
      </c>
      <c r="F5" s="1" t="e">
        <f t="shared" ref="F5:F6" si="1" xml:space="preserve"> _xlfn.STDEV.S(B5:D5)</f>
        <v>#DIV/0!</v>
      </c>
      <c r="I5" s="1" t="s">
        <v>9</v>
      </c>
      <c r="J5" s="1">
        <f xml:space="preserve"> 43.23</f>
        <v>43.23</v>
      </c>
      <c r="K5" s="1">
        <f xml:space="preserve"> 42.95</f>
        <v>42.95</v>
      </c>
      <c r="L5" s="1">
        <f xml:space="preserve"> 43.25</f>
        <v>43.25</v>
      </c>
      <c r="M5" s="1">
        <f t="shared" ref="M5:M9" si="2" xml:space="preserve"> AVERAGE(J5:L5)</f>
        <v>43.143333333333338</v>
      </c>
      <c r="N5" s="1">
        <f t="shared" ref="N5:N9" si="3" xml:space="preserve"> _xlfn.STDEV.S(J5:L5)</f>
        <v>0.16772994167211921</v>
      </c>
    </row>
    <row r="6" spans="1:14" x14ac:dyDescent="0.35">
      <c r="A6" s="1" t="s">
        <v>10</v>
      </c>
      <c r="E6" s="1" t="e">
        <f t="shared" si="0"/>
        <v>#DIV/0!</v>
      </c>
      <c r="F6" s="1" t="e">
        <f t="shared" si="1"/>
        <v>#DIV/0!</v>
      </c>
      <c r="I6" s="1" t="s">
        <v>10</v>
      </c>
      <c r="J6" s="1">
        <f xml:space="preserve"> 40.78</f>
        <v>40.78</v>
      </c>
      <c r="K6" s="1">
        <f xml:space="preserve"> 39.76</f>
        <v>39.76</v>
      </c>
      <c r="M6" s="1">
        <f t="shared" si="2"/>
        <v>40.269999999999996</v>
      </c>
      <c r="N6" s="1">
        <f t="shared" si="3"/>
        <v>0.72124891681028058</v>
      </c>
    </row>
    <row r="7" spans="1:14" x14ac:dyDescent="0.35">
      <c r="A7" s="1" t="s">
        <v>47</v>
      </c>
      <c r="I7" s="1" t="s">
        <v>47</v>
      </c>
      <c r="J7" s="1">
        <f xml:space="preserve"> 44.18</f>
        <v>44.18</v>
      </c>
      <c r="K7" s="1">
        <f xml:space="preserve"> 44.07</f>
        <v>44.07</v>
      </c>
      <c r="L7" s="1">
        <f xml:space="preserve"> 44.19</f>
        <v>44.19</v>
      </c>
      <c r="M7" s="1">
        <f t="shared" si="2"/>
        <v>44.146666666666668</v>
      </c>
      <c r="N7" s="1">
        <f t="shared" si="3"/>
        <v>6.6583281184792953E-2</v>
      </c>
    </row>
    <row r="8" spans="1:14" x14ac:dyDescent="0.35">
      <c r="A8" s="1" t="s">
        <v>48</v>
      </c>
      <c r="I8" s="1" t="s">
        <v>48</v>
      </c>
      <c r="J8" s="1">
        <f xml:space="preserve"> 43.5</f>
        <v>43.5</v>
      </c>
      <c r="K8" s="1">
        <f xml:space="preserve"> 43.45</f>
        <v>43.45</v>
      </c>
      <c r="L8" s="1">
        <f xml:space="preserve"> 43.28</f>
        <v>43.28</v>
      </c>
      <c r="M8" s="1">
        <f t="shared" si="2"/>
        <v>43.410000000000004</v>
      </c>
      <c r="N8" s="1">
        <f t="shared" si="3"/>
        <v>0.11532562594670781</v>
      </c>
    </row>
    <row r="9" spans="1:14" x14ac:dyDescent="0.35">
      <c r="A9" s="1" t="s">
        <v>49</v>
      </c>
      <c r="I9" s="1" t="s">
        <v>49</v>
      </c>
      <c r="J9" s="1">
        <f xml:space="preserve"> 40.45</f>
        <v>40.450000000000003</v>
      </c>
      <c r="K9" s="1">
        <f xml:space="preserve"> 40.08</f>
        <v>40.08</v>
      </c>
      <c r="L9" s="1">
        <f xml:space="preserve"> 40.95</f>
        <v>40.950000000000003</v>
      </c>
      <c r="M9" s="1">
        <f t="shared" si="2"/>
        <v>40.493333333333332</v>
      </c>
      <c r="N9" s="1">
        <f t="shared" si="3"/>
        <v>0.4366157731156024</v>
      </c>
    </row>
    <row r="13" spans="1:14" x14ac:dyDescent="0.35">
      <c r="A13" s="3" t="s">
        <v>6</v>
      </c>
      <c r="B13" s="1" t="s">
        <v>0</v>
      </c>
      <c r="C13" s="1" t="s">
        <v>1</v>
      </c>
      <c r="D13" s="1" t="s">
        <v>2</v>
      </c>
      <c r="E13" s="1" t="s">
        <v>3</v>
      </c>
      <c r="F13" s="1" t="s">
        <v>4</v>
      </c>
      <c r="I13" s="3" t="s">
        <v>6</v>
      </c>
      <c r="J13" s="1" t="s">
        <v>0</v>
      </c>
      <c r="K13" s="1" t="s">
        <v>1</v>
      </c>
      <c r="L13" s="1" t="s">
        <v>2</v>
      </c>
      <c r="M13" s="1" t="s">
        <v>3</v>
      </c>
      <c r="N13" s="1" t="s">
        <v>4</v>
      </c>
    </row>
    <row r="14" spans="1:14" ht="29" x14ac:dyDescent="0.35">
      <c r="A14" s="1" t="s">
        <v>24</v>
      </c>
      <c r="B14" s="1">
        <f xml:space="preserve"> -37.62</f>
        <v>-37.619999999999997</v>
      </c>
      <c r="C14" s="1">
        <f xml:space="preserve"> -37.49</f>
        <v>-37.49</v>
      </c>
      <c r="D14" s="1">
        <f xml:space="preserve"> -35.53</f>
        <v>-35.53</v>
      </c>
      <c r="E14" s="1">
        <f xml:space="preserve"> AVERAGE(B14:D14)</f>
        <v>-36.880000000000003</v>
      </c>
      <c r="F14" s="1">
        <f xml:space="preserve"> _xlfn.STDEV.S(B14:D14)</f>
        <v>1.1709397934992207</v>
      </c>
      <c r="I14" s="1" t="s">
        <v>24</v>
      </c>
      <c r="J14" s="1">
        <f xml:space="preserve"> 43.74</f>
        <v>43.74</v>
      </c>
      <c r="K14" s="1">
        <f xml:space="preserve"> 43.72</f>
        <v>43.72</v>
      </c>
      <c r="L14" s="1">
        <f xml:space="preserve"> 44.17</f>
        <v>44.17</v>
      </c>
      <c r="M14" s="1">
        <f xml:space="preserve"> AVERAGE(J14:L14)</f>
        <v>43.876666666666665</v>
      </c>
      <c r="N14" s="1">
        <f xml:space="preserve"> _xlfn.STDEV.S(J14:L14)</f>
        <v>0.25423086620891205</v>
      </c>
    </row>
    <row r="15" spans="1:14" ht="29" x14ac:dyDescent="0.35">
      <c r="A15" s="1" t="s">
        <v>25</v>
      </c>
      <c r="B15" s="1">
        <f xml:space="preserve"> -43.89</f>
        <v>-43.89</v>
      </c>
      <c r="C15" s="1">
        <f xml:space="preserve"> -44</f>
        <v>-44</v>
      </c>
      <c r="D15" s="1">
        <f xml:space="preserve"> -44.62</f>
        <v>-44.62</v>
      </c>
      <c r="E15" s="1">
        <f xml:space="preserve"> AVERAGE(B15:D15)</f>
        <v>-44.169999999999995</v>
      </c>
      <c r="F15" s="1">
        <f xml:space="preserve"> _xlfn.STDEV.S(B15:D15)</f>
        <v>0.39357337308308687</v>
      </c>
      <c r="I15" s="1" t="s">
        <v>25</v>
      </c>
      <c r="J15" s="1">
        <f xml:space="preserve"> 43.11</f>
        <v>43.11</v>
      </c>
      <c r="K15" s="1">
        <f xml:space="preserve"> 43.19</f>
        <v>43.19</v>
      </c>
      <c r="L15" s="1">
        <f xml:space="preserve"> 42.92</f>
        <v>42.92</v>
      </c>
      <c r="M15" s="1">
        <f xml:space="preserve"> AVERAGE(J15:L15)</f>
        <v>43.073333333333331</v>
      </c>
      <c r="N15" s="1">
        <f xml:space="preserve"> _xlfn.STDEV.S(J15:L15)</f>
        <v>0.13868429375142949</v>
      </c>
    </row>
    <row r="18" spans="1:14" x14ac:dyDescent="0.35">
      <c r="A18" s="3" t="s">
        <v>7</v>
      </c>
      <c r="B18" s="1" t="s">
        <v>0</v>
      </c>
      <c r="C18" s="1" t="s">
        <v>1</v>
      </c>
      <c r="D18" s="1" t="s">
        <v>2</v>
      </c>
      <c r="E18" s="1" t="s">
        <v>3</v>
      </c>
      <c r="F18" s="1" t="s">
        <v>4</v>
      </c>
      <c r="I18" s="3" t="s">
        <v>7</v>
      </c>
      <c r="J18" s="1" t="s">
        <v>0</v>
      </c>
      <c r="K18" s="1" t="s">
        <v>1</v>
      </c>
      <c r="L18" s="1" t="s">
        <v>2</v>
      </c>
      <c r="M18" s="1" t="s">
        <v>3</v>
      </c>
      <c r="N18" s="1" t="s">
        <v>4</v>
      </c>
    </row>
    <row r="19" spans="1:14" ht="29" x14ac:dyDescent="0.35">
      <c r="A19" s="1" t="s">
        <v>12</v>
      </c>
      <c r="B19" s="1">
        <f xml:space="preserve"> -37.66</f>
        <v>-37.659999999999997</v>
      </c>
      <c r="C19" s="1">
        <f xml:space="preserve"> -36.78</f>
        <v>-36.78</v>
      </c>
      <c r="D19" s="1">
        <f xml:space="preserve"> -37.7</f>
        <v>-37.700000000000003</v>
      </c>
      <c r="E19" s="1">
        <f xml:space="preserve"> AVERAGE(B19:D19)</f>
        <v>-37.380000000000003</v>
      </c>
      <c r="F19" s="1">
        <f xml:space="preserve"> _xlfn.STDEV.S(B19:D19)</f>
        <v>0.51999999999999924</v>
      </c>
      <c r="I19" s="1" t="s">
        <v>12</v>
      </c>
      <c r="J19" s="1">
        <f xml:space="preserve"> 43.73</f>
        <v>43.73</v>
      </c>
      <c r="K19" s="1">
        <f xml:space="preserve"> 43.73</f>
        <v>43.73</v>
      </c>
      <c r="L19" s="1">
        <f xml:space="preserve"> 43.71</f>
        <v>43.71</v>
      </c>
      <c r="M19" s="1">
        <f xml:space="preserve"> AVERAGE(J19:L19)</f>
        <v>43.723333333333329</v>
      </c>
      <c r="N19" s="1">
        <f xml:space="preserve"> _xlfn.STDEV.S(J19:L19)</f>
        <v>1.1547005383790217E-2</v>
      </c>
    </row>
    <row r="20" spans="1:14" ht="29" x14ac:dyDescent="0.35">
      <c r="A20" s="1" t="s">
        <v>13</v>
      </c>
      <c r="B20" s="1">
        <f xml:space="preserve"> -36.83</f>
        <v>-36.83</v>
      </c>
      <c r="D20" s="1">
        <f xml:space="preserve"> -36.64</f>
        <v>-36.64</v>
      </c>
      <c r="E20" s="1">
        <f t="shared" ref="E20:E24" si="4" xml:space="preserve"> AVERAGE(B20:D20)</f>
        <v>-36.734999999999999</v>
      </c>
      <c r="F20" s="1">
        <f t="shared" ref="F20:F24" si="5" xml:space="preserve"> _xlfn.STDEV.S(B20:D20)</f>
        <v>0.13435028842544242</v>
      </c>
      <c r="I20" s="1" t="s">
        <v>13</v>
      </c>
      <c r="J20" s="1">
        <f xml:space="preserve"> 43.67</f>
        <v>43.67</v>
      </c>
      <c r="K20" s="1">
        <f xml:space="preserve"> 43.45</f>
        <v>43.45</v>
      </c>
      <c r="L20" s="1">
        <f xml:space="preserve"> 43.98</f>
        <v>43.98</v>
      </c>
      <c r="M20" s="1">
        <f t="shared" ref="M20:M24" si="6" xml:space="preserve"> AVERAGE(J20:L20)</f>
        <v>43.699999999999996</v>
      </c>
      <c r="N20" s="1">
        <f t="shared" ref="N20:N24" si="7" xml:space="preserve"> _xlfn.STDEV.S(J20:L20)</f>
        <v>0.26627053911388388</v>
      </c>
    </row>
    <row r="21" spans="1:14" ht="29" x14ac:dyDescent="0.35">
      <c r="A21" s="1" t="s">
        <v>14</v>
      </c>
      <c r="B21" s="1">
        <f xml:space="preserve"> -43.57</f>
        <v>-43.57</v>
      </c>
      <c r="C21" s="1">
        <f xml:space="preserve"> -42.85</f>
        <v>-42.85</v>
      </c>
      <c r="D21" s="1">
        <f xml:space="preserve"> -43.36</f>
        <v>-43.36</v>
      </c>
      <c r="E21" s="1">
        <f t="shared" si="4"/>
        <v>-43.26</v>
      </c>
      <c r="F21" s="1">
        <f t="shared" si="5"/>
        <v>0.37027017163147163</v>
      </c>
      <c r="I21" s="1" t="s">
        <v>14</v>
      </c>
      <c r="J21" s="1">
        <f xml:space="preserve"> 42.94</f>
        <v>42.94</v>
      </c>
      <c r="K21" s="1">
        <f xml:space="preserve"> 43.33</f>
        <v>43.33</v>
      </c>
      <c r="L21" s="1">
        <f xml:space="preserve"> 43.09</f>
        <v>43.09</v>
      </c>
      <c r="M21" s="1">
        <f t="shared" si="6"/>
        <v>43.120000000000005</v>
      </c>
      <c r="N21" s="1">
        <f t="shared" si="7"/>
        <v>0.19672315572905988</v>
      </c>
    </row>
    <row r="22" spans="1:14" ht="29" x14ac:dyDescent="0.35">
      <c r="A22" s="1" t="s">
        <v>15</v>
      </c>
      <c r="B22" s="1">
        <f xml:space="preserve"> -44.02</f>
        <v>-44.02</v>
      </c>
      <c r="C22" s="1">
        <f xml:space="preserve"> -44.38</f>
        <v>-44.38</v>
      </c>
      <c r="D22" s="1">
        <f xml:space="preserve"> -42.04</f>
        <v>-42.04</v>
      </c>
      <c r="E22" s="1">
        <f t="shared" si="4"/>
        <v>-43.48</v>
      </c>
      <c r="F22" s="1">
        <f t="shared" si="5"/>
        <v>1.2600000000000022</v>
      </c>
      <c r="I22" s="1" t="s">
        <v>15</v>
      </c>
      <c r="J22" s="1">
        <f xml:space="preserve"> 43.24</f>
        <v>43.24</v>
      </c>
      <c r="K22" s="1">
        <f xml:space="preserve"> 43.02</f>
        <v>43.02</v>
      </c>
      <c r="L22" s="1">
        <f xml:space="preserve"> 43.62</f>
        <v>43.62</v>
      </c>
      <c r="M22" s="1">
        <f t="shared" si="6"/>
        <v>43.293333333333329</v>
      </c>
      <c r="N22" s="1">
        <f t="shared" si="7"/>
        <v>0.30353473167552264</v>
      </c>
    </row>
    <row r="23" spans="1:14" ht="29" x14ac:dyDescent="0.35">
      <c r="A23" s="1" t="s">
        <v>16</v>
      </c>
      <c r="B23" s="1">
        <f xml:space="preserve"> -39.9</f>
        <v>-39.9</v>
      </c>
      <c r="C23" s="1">
        <f xml:space="preserve"> -40</f>
        <v>-40</v>
      </c>
      <c r="D23" s="1">
        <f xml:space="preserve"> -40.8</f>
        <v>-40.799999999999997</v>
      </c>
      <c r="E23" s="1">
        <f t="shared" si="4"/>
        <v>-40.233333333333334</v>
      </c>
      <c r="F23" s="1">
        <f t="shared" si="5"/>
        <v>0.49328828623162357</v>
      </c>
      <c r="I23" s="1" t="s">
        <v>16</v>
      </c>
      <c r="J23" s="1">
        <f xml:space="preserve"> 42.21</f>
        <v>42.21</v>
      </c>
      <c r="K23" s="1">
        <f xml:space="preserve"> 42</f>
        <v>42</v>
      </c>
      <c r="L23" s="1">
        <f xml:space="preserve"> 41.85</f>
        <v>41.85</v>
      </c>
      <c r="M23" s="1">
        <f t="shared" si="6"/>
        <v>42.02</v>
      </c>
      <c r="N23" s="1">
        <f t="shared" si="7"/>
        <v>0.18083141320025101</v>
      </c>
    </row>
    <row r="24" spans="1:14" ht="29" x14ac:dyDescent="0.35">
      <c r="A24" s="1" t="s">
        <v>17</v>
      </c>
      <c r="B24" s="1">
        <f xml:space="preserve"> -39.06</f>
        <v>-39.06</v>
      </c>
      <c r="C24" s="1">
        <f xml:space="preserve"> -38.9</f>
        <v>-38.9</v>
      </c>
      <c r="D24" s="1">
        <f xml:space="preserve"> -38.76</f>
        <v>-38.76</v>
      </c>
      <c r="E24" s="1">
        <f t="shared" si="4"/>
        <v>-38.906666666666666</v>
      </c>
      <c r="F24" s="1">
        <f t="shared" si="5"/>
        <v>0.15011106998930485</v>
      </c>
      <c r="I24" s="1" t="s">
        <v>17</v>
      </c>
      <c r="J24" s="1">
        <f xml:space="preserve"> 42.19</f>
        <v>42.19</v>
      </c>
      <c r="K24" s="1">
        <f xml:space="preserve"> 42.18</f>
        <v>42.18</v>
      </c>
      <c r="L24" s="1">
        <f xml:space="preserve"> 41.88</f>
        <v>41.88</v>
      </c>
      <c r="M24" s="1">
        <f t="shared" si="6"/>
        <v>42.083333333333336</v>
      </c>
      <c r="N24" s="1">
        <f t="shared" si="7"/>
        <v>0.17616280348964858</v>
      </c>
    </row>
    <row r="27" spans="1:14" x14ac:dyDescent="0.35">
      <c r="A27" s="3" t="s">
        <v>11</v>
      </c>
      <c r="B27" s="1" t="s">
        <v>0</v>
      </c>
      <c r="C27" s="1" t="s">
        <v>1</v>
      </c>
      <c r="D27" s="1" t="s">
        <v>2</v>
      </c>
      <c r="E27" s="1" t="s">
        <v>3</v>
      </c>
      <c r="F27" s="1" t="s">
        <v>4</v>
      </c>
      <c r="I27" s="3" t="s">
        <v>11</v>
      </c>
      <c r="J27" s="1" t="s">
        <v>0</v>
      </c>
      <c r="K27" s="1" t="s">
        <v>1</v>
      </c>
      <c r="L27" s="1" t="s">
        <v>2</v>
      </c>
      <c r="M27" s="1" t="s">
        <v>3</v>
      </c>
      <c r="N27" s="1" t="s">
        <v>4</v>
      </c>
    </row>
    <row r="28" spans="1:14" ht="29" x14ac:dyDescent="0.35">
      <c r="A28" s="1" t="s">
        <v>18</v>
      </c>
      <c r="B28" s="1">
        <f xml:space="preserve"> -36.58</f>
        <v>-36.58</v>
      </c>
      <c r="C28" s="1">
        <f xml:space="preserve"> -35.08</f>
        <v>-35.08</v>
      </c>
      <c r="D28" s="1">
        <f xml:space="preserve"> -34.68</f>
        <v>-34.68</v>
      </c>
      <c r="E28" s="1">
        <f xml:space="preserve"> AVERAGE(B28:D28)</f>
        <v>-35.446666666666665</v>
      </c>
      <c r="F28" s="1">
        <f xml:space="preserve"> _xlfn.STDEV.S(B28:D28)</f>
        <v>1.0016652800877808</v>
      </c>
      <c r="I28" s="1" t="s">
        <v>18</v>
      </c>
      <c r="J28" s="1">
        <f xml:space="preserve"> 43.95</f>
        <v>43.95</v>
      </c>
      <c r="K28" s="1">
        <f xml:space="preserve"> 44.19</f>
        <v>44.19</v>
      </c>
      <c r="L28" s="1">
        <f xml:space="preserve"> 44.2</f>
        <v>44.2</v>
      </c>
      <c r="M28" s="1">
        <f xml:space="preserve"> AVERAGE(J28:L28)</f>
        <v>44.113333333333337</v>
      </c>
      <c r="N28" s="1">
        <f xml:space="preserve"> _xlfn.STDEV.S(J28:L28)</f>
        <v>0.14153915830374625</v>
      </c>
    </row>
    <row r="29" spans="1:14" ht="29" x14ac:dyDescent="0.35">
      <c r="A29" s="1" t="s">
        <v>19</v>
      </c>
      <c r="B29" s="1">
        <f xml:space="preserve"> -38.17</f>
        <v>-38.17</v>
      </c>
      <c r="C29" s="1">
        <f xml:space="preserve"> -39.13</f>
        <v>-39.130000000000003</v>
      </c>
      <c r="D29" s="1">
        <f xml:space="preserve"> -37.2</f>
        <v>-37.200000000000003</v>
      </c>
      <c r="E29" s="1">
        <f t="shared" ref="E29:E33" si="8" xml:space="preserve"> AVERAGE(B29:D29)</f>
        <v>-38.166666666666671</v>
      </c>
      <c r="F29" s="1">
        <f t="shared" ref="F29:F33" si="9" xml:space="preserve"> _xlfn.STDEV.S(B29:D29)</f>
        <v>0.96500431777963203</v>
      </c>
      <c r="I29" s="1" t="s">
        <v>19</v>
      </c>
      <c r="J29" s="1">
        <f xml:space="preserve"> 43.61</f>
        <v>43.61</v>
      </c>
      <c r="K29" s="1">
        <f xml:space="preserve"> 43.25</f>
        <v>43.25</v>
      </c>
      <c r="L29" s="1">
        <f xml:space="preserve"> 43.71</f>
        <v>43.71</v>
      </c>
      <c r="M29" s="1">
        <f t="shared" ref="M29:M33" si="10" xml:space="preserve"> AVERAGE(J29:L29)</f>
        <v>43.523333333333333</v>
      </c>
      <c r="N29" s="1">
        <f t="shared" ref="N29:N33" si="11" xml:space="preserve"> _xlfn.STDEV.S(J29:L29)</f>
        <v>0.24193663082165429</v>
      </c>
    </row>
    <row r="30" spans="1:14" ht="29" x14ac:dyDescent="0.35">
      <c r="A30" s="1" t="s">
        <v>20</v>
      </c>
      <c r="B30" s="1">
        <f xml:space="preserve"> -43.21</f>
        <v>-43.21</v>
      </c>
      <c r="C30" s="1">
        <f xml:space="preserve"> -43.06</f>
        <v>-43.06</v>
      </c>
      <c r="D30" s="1">
        <f xml:space="preserve"> -42.87</f>
        <v>-42.87</v>
      </c>
      <c r="E30" s="1">
        <f t="shared" si="8"/>
        <v>-43.046666666666674</v>
      </c>
      <c r="F30" s="1">
        <f t="shared" si="9"/>
        <v>0.17039170558842925</v>
      </c>
      <c r="I30" s="1" t="s">
        <v>20</v>
      </c>
      <c r="J30" s="1">
        <f xml:space="preserve"> 43.14</f>
        <v>43.14</v>
      </c>
      <c r="K30" s="1">
        <f xml:space="preserve"> 43.34</f>
        <v>43.34</v>
      </c>
      <c r="L30" s="1">
        <f xml:space="preserve"> 43.44</f>
        <v>43.44</v>
      </c>
      <c r="M30" s="1">
        <f t="shared" si="10"/>
        <v>43.306666666666672</v>
      </c>
      <c r="N30" s="1">
        <f t="shared" si="11"/>
        <v>0.15275252316519375</v>
      </c>
    </row>
    <row r="31" spans="1:14" ht="29" x14ac:dyDescent="0.35">
      <c r="A31" s="1" t="s">
        <v>21</v>
      </c>
      <c r="B31" s="1">
        <f xml:space="preserve"> -43.7</f>
        <v>-43.7</v>
      </c>
      <c r="C31" s="1">
        <f xml:space="preserve"> -43.82</f>
        <v>-43.82</v>
      </c>
      <c r="D31" s="1">
        <f xml:space="preserve"> -43.86</f>
        <v>-43.86</v>
      </c>
      <c r="E31" s="1">
        <f t="shared" si="8"/>
        <v>-43.793333333333329</v>
      </c>
      <c r="F31" s="1">
        <f t="shared" si="9"/>
        <v>8.3266639978643531E-2</v>
      </c>
      <c r="I31" s="1" t="s">
        <v>21</v>
      </c>
      <c r="J31" s="1">
        <f xml:space="preserve"> 43.05</f>
        <v>43.05</v>
      </c>
      <c r="K31" s="1">
        <f xml:space="preserve"> 43.13</f>
        <v>43.13</v>
      </c>
      <c r="L31" s="1">
        <f xml:space="preserve"> 43.03</f>
        <v>43.03</v>
      </c>
      <c r="M31" s="1">
        <f t="shared" si="10"/>
        <v>43.07</v>
      </c>
      <c r="N31" s="1">
        <f t="shared" si="11"/>
        <v>5.2915026221293363E-2</v>
      </c>
    </row>
    <row r="32" spans="1:14" ht="29" x14ac:dyDescent="0.35">
      <c r="A32" s="1" t="s">
        <v>22</v>
      </c>
      <c r="B32" s="1">
        <f xml:space="preserve"> -39.74</f>
        <v>-39.74</v>
      </c>
      <c r="C32" s="1">
        <f xml:space="preserve"> -39</f>
        <v>-39</v>
      </c>
      <c r="D32" s="1">
        <f xml:space="preserve"> -38.89</f>
        <v>-38.89</v>
      </c>
      <c r="E32" s="1">
        <f t="shared" si="8"/>
        <v>-39.21</v>
      </c>
      <c r="F32" s="1">
        <f t="shared" si="9"/>
        <v>0.46227697325304978</v>
      </c>
      <c r="I32" s="1" t="s">
        <v>22</v>
      </c>
      <c r="J32" s="1">
        <f xml:space="preserve"> 41.66</f>
        <v>41.66</v>
      </c>
      <c r="K32" s="1">
        <f xml:space="preserve"> 41.65</f>
        <v>41.65</v>
      </c>
      <c r="L32" s="1">
        <f xml:space="preserve"> 42.06</f>
        <v>42.06</v>
      </c>
      <c r="M32" s="1">
        <f t="shared" si="10"/>
        <v>41.79</v>
      </c>
      <c r="N32" s="1">
        <f t="shared" si="11"/>
        <v>0.23388031127053269</v>
      </c>
    </row>
    <row r="33" spans="1:14" ht="29" x14ac:dyDescent="0.35">
      <c r="A33" s="1" t="s">
        <v>23</v>
      </c>
      <c r="B33" s="1">
        <f xml:space="preserve"> -39.84</f>
        <v>-39.840000000000003</v>
      </c>
      <c r="C33" s="1">
        <f xml:space="preserve"> -39.22</f>
        <v>-39.22</v>
      </c>
      <c r="D33" s="1">
        <f xml:space="preserve"> -39.71</f>
        <v>-39.71</v>
      </c>
      <c r="E33" s="1">
        <f t="shared" si="8"/>
        <v>-39.590000000000003</v>
      </c>
      <c r="F33" s="1">
        <f t="shared" si="9"/>
        <v>0.3269556544854384</v>
      </c>
      <c r="I33" s="1" t="s">
        <v>23</v>
      </c>
      <c r="J33" s="1">
        <f xml:space="preserve"> 41.54</f>
        <v>41.54</v>
      </c>
      <c r="K33" s="1">
        <f xml:space="preserve"> 41.76</f>
        <v>41.76</v>
      </c>
      <c r="L33" s="1">
        <f xml:space="preserve"> 41.59</f>
        <v>41.59</v>
      </c>
      <c r="M33" s="1">
        <f t="shared" si="10"/>
        <v>41.63</v>
      </c>
      <c r="N33" s="1">
        <f t="shared" si="11"/>
        <v>0.11532562594670658</v>
      </c>
    </row>
    <row r="36" spans="1:14" x14ac:dyDescent="0.35">
      <c r="A36" s="3" t="s">
        <v>26</v>
      </c>
      <c r="B36" s="1" t="s">
        <v>0</v>
      </c>
      <c r="C36" s="1" t="s">
        <v>1</v>
      </c>
      <c r="D36" s="1" t="s">
        <v>2</v>
      </c>
      <c r="E36" s="1" t="s">
        <v>3</v>
      </c>
      <c r="F36" s="1" t="s">
        <v>4</v>
      </c>
      <c r="I36" s="3" t="s">
        <v>26</v>
      </c>
      <c r="J36" s="1" t="s">
        <v>0</v>
      </c>
      <c r="K36" s="1" t="s">
        <v>1</v>
      </c>
      <c r="L36" s="1" t="s">
        <v>2</v>
      </c>
      <c r="M36" s="1" t="s">
        <v>3</v>
      </c>
      <c r="N36" s="1" t="s">
        <v>4</v>
      </c>
    </row>
    <row r="37" spans="1:14" ht="29" x14ac:dyDescent="0.35">
      <c r="A37" s="1" t="s">
        <v>27</v>
      </c>
      <c r="B37" s="1">
        <f xml:space="preserve"> -37.51</f>
        <v>-37.51</v>
      </c>
      <c r="C37" s="1">
        <f xml:space="preserve"> -37.53</f>
        <v>-37.53</v>
      </c>
      <c r="D37" s="1">
        <f xml:space="preserve"> -37.89</f>
        <v>-37.89</v>
      </c>
      <c r="E37" s="1">
        <f xml:space="preserve"> AVERAGE(B37:D37)</f>
        <v>-37.643333333333331</v>
      </c>
      <c r="F37" s="1">
        <f xml:space="preserve"> _xlfn.STDEV.S(B37:D37)</f>
        <v>0.2138535324312732</v>
      </c>
      <c r="I37" s="1" t="s">
        <v>27</v>
      </c>
      <c r="J37" s="1">
        <f xml:space="preserve"> 43.93</f>
        <v>43.93</v>
      </c>
      <c r="K37" s="1">
        <f xml:space="preserve"> 43.74</f>
        <v>43.74</v>
      </c>
      <c r="L37" s="1">
        <f xml:space="preserve"> 43.76</f>
        <v>43.76</v>
      </c>
      <c r="M37" s="1">
        <f xml:space="preserve"> AVERAGE(J37:L37)</f>
        <v>43.81</v>
      </c>
      <c r="N37" s="1">
        <f xml:space="preserve"> _xlfn.STDEV.S(J37:L37)</f>
        <v>0.10440306508910514</v>
      </c>
    </row>
    <row r="38" spans="1:14" ht="29" x14ac:dyDescent="0.35">
      <c r="A38" s="1" t="s">
        <v>28</v>
      </c>
      <c r="B38" s="1">
        <f xml:space="preserve"> -37.5</f>
        <v>-37.5</v>
      </c>
      <c r="C38" s="1">
        <f xml:space="preserve"> -36.92</f>
        <v>-36.92</v>
      </c>
      <c r="D38" s="1">
        <f xml:space="preserve"> -37.69</f>
        <v>-37.69</v>
      </c>
      <c r="E38" s="1">
        <f t="shared" ref="E38:E42" si="12" xml:space="preserve"> AVERAGE(B38:D38)</f>
        <v>-37.369999999999997</v>
      </c>
      <c r="F38" s="1">
        <f t="shared" ref="F38:F42" si="13" xml:space="preserve"> _xlfn.STDEV.S(B38:D38)</f>
        <v>0.40112342240262971</v>
      </c>
      <c r="I38" s="1" t="s">
        <v>28</v>
      </c>
      <c r="J38" s="1">
        <f xml:space="preserve"> 43.71</f>
        <v>43.71</v>
      </c>
      <c r="K38" s="1">
        <f xml:space="preserve"> 43.81</f>
        <v>43.81</v>
      </c>
      <c r="L38" s="1">
        <f xml:space="preserve"> 43.72</f>
        <v>43.72</v>
      </c>
      <c r="M38" s="1">
        <f t="shared" ref="M38:M42" si="14" xml:space="preserve"> AVERAGE(J38:L38)</f>
        <v>43.74666666666667</v>
      </c>
      <c r="N38" s="1">
        <f t="shared" ref="N38:N42" si="15" xml:space="preserve"> _xlfn.STDEV.S(J38:L38)</f>
        <v>5.5075705472862314E-2</v>
      </c>
    </row>
    <row r="39" spans="1:14" ht="29" x14ac:dyDescent="0.35">
      <c r="A39" s="1" t="s">
        <v>29</v>
      </c>
      <c r="B39" s="1">
        <f xml:space="preserve"> -43.9</f>
        <v>-43.9</v>
      </c>
      <c r="C39" s="1">
        <f xml:space="preserve"> -42.8</f>
        <v>-42.8</v>
      </c>
      <c r="D39" s="1">
        <f xml:space="preserve"> -43.08</f>
        <v>-43.08</v>
      </c>
      <c r="E39" s="1">
        <f t="shared" si="12"/>
        <v>-43.259999999999991</v>
      </c>
      <c r="F39" s="1">
        <f t="shared" si="13"/>
        <v>0.57166423711825864</v>
      </c>
      <c r="I39" s="1" t="s">
        <v>29</v>
      </c>
      <c r="J39" s="1">
        <f xml:space="preserve"> 43.09</f>
        <v>43.09</v>
      </c>
      <c r="K39" s="1">
        <f xml:space="preserve"> 43.34</f>
        <v>43.34</v>
      </c>
      <c r="L39" s="1">
        <f xml:space="preserve"> 43.53</f>
        <v>43.53</v>
      </c>
      <c r="M39" s="1">
        <f t="shared" si="14"/>
        <v>43.32</v>
      </c>
      <c r="N39" s="1">
        <f t="shared" si="15"/>
        <v>0.22068076490713803</v>
      </c>
    </row>
    <row r="40" spans="1:14" ht="29" x14ac:dyDescent="0.35">
      <c r="A40" s="1" t="s">
        <v>30</v>
      </c>
      <c r="B40" s="1">
        <f xml:space="preserve"> -42.98</f>
        <v>-42.98</v>
      </c>
      <c r="C40" s="1">
        <f xml:space="preserve"> -43.44</f>
        <v>-43.44</v>
      </c>
      <c r="D40" s="1">
        <f xml:space="preserve"> -42.83</f>
        <v>-42.83</v>
      </c>
      <c r="E40" s="1">
        <f t="shared" si="12"/>
        <v>-43.083333333333336</v>
      </c>
      <c r="F40" s="1">
        <f t="shared" si="13"/>
        <v>0.31785741037976961</v>
      </c>
      <c r="I40" s="1" t="s">
        <v>30</v>
      </c>
      <c r="J40" s="1">
        <f xml:space="preserve"> 43.33</f>
        <v>43.33</v>
      </c>
      <c r="K40" s="1">
        <f xml:space="preserve"> 43.24</f>
        <v>43.24</v>
      </c>
      <c r="L40" s="1">
        <f xml:space="preserve"> 43.3</f>
        <v>43.3</v>
      </c>
      <c r="M40" s="1">
        <f t="shared" si="14"/>
        <v>43.29</v>
      </c>
      <c r="N40" s="1">
        <f t="shared" si="15"/>
        <v>4.5825756949556262E-2</v>
      </c>
    </row>
    <row r="41" spans="1:14" ht="29" x14ac:dyDescent="0.35">
      <c r="A41" s="1" t="s">
        <v>31</v>
      </c>
      <c r="B41" s="1">
        <f xml:space="preserve"> -40</f>
        <v>-40</v>
      </c>
      <c r="C41" s="1">
        <f xml:space="preserve"> -39.85</f>
        <v>-39.85</v>
      </c>
      <c r="D41" s="1">
        <f xml:space="preserve"> -38.53</f>
        <v>-38.53</v>
      </c>
      <c r="E41" s="1">
        <f t="shared" si="12"/>
        <v>-39.46</v>
      </c>
      <c r="F41" s="1">
        <f t="shared" si="13"/>
        <v>0.80888812576276548</v>
      </c>
      <c r="I41" s="1" t="s">
        <v>31</v>
      </c>
      <c r="J41" s="1">
        <f xml:space="preserve"> 41.96</f>
        <v>41.96</v>
      </c>
      <c r="K41" s="1">
        <f xml:space="preserve"> 41.88</f>
        <v>41.88</v>
      </c>
      <c r="L41" s="1">
        <f xml:space="preserve"> 42.2</f>
        <v>42.2</v>
      </c>
      <c r="M41" s="1">
        <f t="shared" si="14"/>
        <v>42.013333333333335</v>
      </c>
      <c r="N41" s="1">
        <f t="shared" si="15"/>
        <v>0.16653327995729106</v>
      </c>
    </row>
    <row r="42" spans="1:14" ht="29" x14ac:dyDescent="0.35">
      <c r="A42" s="1" t="s">
        <v>32</v>
      </c>
      <c r="B42" s="1">
        <f xml:space="preserve"> -41.89</f>
        <v>-41.89</v>
      </c>
      <c r="C42" s="1">
        <f xml:space="preserve"> -39.02</f>
        <v>-39.020000000000003</v>
      </c>
      <c r="D42" s="1">
        <f xml:space="preserve"> -38.97</f>
        <v>-38.97</v>
      </c>
      <c r="E42" s="1">
        <f t="shared" si="12"/>
        <v>-39.96</v>
      </c>
      <c r="F42" s="1">
        <f t="shared" si="13"/>
        <v>1.6716159846089051</v>
      </c>
      <c r="I42" s="1" t="s">
        <v>32</v>
      </c>
      <c r="J42" s="1">
        <f xml:space="preserve"> 41.42</f>
        <v>41.42</v>
      </c>
      <c r="K42" s="1">
        <f xml:space="preserve"> 41.84</f>
        <v>41.84</v>
      </c>
      <c r="L42" s="1">
        <f xml:space="preserve"> 41.53</f>
        <v>41.53</v>
      </c>
      <c r="M42" s="1">
        <f t="shared" si="14"/>
        <v>41.596666666666671</v>
      </c>
      <c r="N42" s="1">
        <f t="shared" si="15"/>
        <v>0.21779194965226281</v>
      </c>
    </row>
    <row r="45" spans="1:14" x14ac:dyDescent="0.35">
      <c r="A45" s="3" t="s">
        <v>33</v>
      </c>
      <c r="B45" s="1" t="s">
        <v>0</v>
      </c>
      <c r="C45" s="1" t="s">
        <v>1</v>
      </c>
      <c r="D45" s="1" t="s">
        <v>2</v>
      </c>
      <c r="E45" s="1" t="s">
        <v>3</v>
      </c>
      <c r="F45" s="1" t="s">
        <v>4</v>
      </c>
      <c r="I45" s="3" t="s">
        <v>33</v>
      </c>
      <c r="J45" s="1" t="s">
        <v>0</v>
      </c>
      <c r="K45" s="1" t="s">
        <v>1</v>
      </c>
      <c r="L45" s="1" t="s">
        <v>2</v>
      </c>
      <c r="M45" s="1" t="s">
        <v>3</v>
      </c>
      <c r="N45" s="1" t="s">
        <v>4</v>
      </c>
    </row>
    <row r="46" spans="1:14" ht="29" x14ac:dyDescent="0.35">
      <c r="A46" s="1" t="s">
        <v>34</v>
      </c>
      <c r="B46" s="1">
        <f xml:space="preserve"> -38.88</f>
        <v>-38.880000000000003</v>
      </c>
      <c r="C46" s="1">
        <f xml:space="preserve"> -37.38</f>
        <v>-37.380000000000003</v>
      </c>
      <c r="D46" s="1">
        <f xml:space="preserve"> -37.3</f>
        <v>-37.299999999999997</v>
      </c>
      <c r="E46" s="1">
        <f xml:space="preserve"> AVERAGE(B46:D46)</f>
        <v>-37.853333333333332</v>
      </c>
      <c r="F46" s="1">
        <f xml:space="preserve"> _xlfn.STDEV.S(B46:D46)</f>
        <v>0.89001872639475199</v>
      </c>
      <c r="I46" s="1" t="s">
        <v>34</v>
      </c>
      <c r="J46" s="1">
        <f xml:space="preserve"> 43.58</f>
        <v>43.58</v>
      </c>
      <c r="K46" s="1">
        <f xml:space="preserve"> 43.86</f>
        <v>43.86</v>
      </c>
      <c r="L46" s="1">
        <f xml:space="preserve"> 43.78</f>
        <v>43.78</v>
      </c>
      <c r="M46" s="1">
        <f xml:space="preserve"> AVERAGE(J46:L46)</f>
        <v>43.74</v>
      </c>
      <c r="N46" s="1">
        <f xml:space="preserve"> _xlfn.STDEV.S(J46:L46)</f>
        <v>0.14422205101856042</v>
      </c>
    </row>
    <row r="47" spans="1:14" ht="29" x14ac:dyDescent="0.35">
      <c r="A47" s="1" t="s">
        <v>35</v>
      </c>
      <c r="B47" s="1">
        <f xml:space="preserve"> -37.69</f>
        <v>-37.69</v>
      </c>
      <c r="C47" s="1">
        <f xml:space="preserve"> -37.41</f>
        <v>-37.409999999999997</v>
      </c>
      <c r="D47" s="1">
        <f xml:space="preserve"> -37.03</f>
        <v>-37.03</v>
      </c>
      <c r="E47" s="1">
        <f t="shared" ref="E47:E51" si="16" xml:space="preserve"> AVERAGE(B47:D47)</f>
        <v>-37.376666666666665</v>
      </c>
      <c r="F47" s="1">
        <f t="shared" ref="F47:F51" si="17" xml:space="preserve"> _xlfn.STDEV.S(B47:D47)</f>
        <v>0.33126021996812732</v>
      </c>
      <c r="I47" s="1" t="s">
        <v>35</v>
      </c>
      <c r="J47" s="1">
        <f xml:space="preserve"> 43.62</f>
        <v>43.62</v>
      </c>
      <c r="K47" s="1">
        <f xml:space="preserve"> 43.78</f>
        <v>43.78</v>
      </c>
      <c r="L47" s="1">
        <f xml:space="preserve"> 43.85</f>
        <v>43.85</v>
      </c>
      <c r="M47" s="1">
        <f t="shared" ref="M47:M51" si="18" xml:space="preserve"> AVERAGE(J47:L47)</f>
        <v>43.75</v>
      </c>
      <c r="N47" s="1">
        <f t="shared" ref="N47:N51" si="19" xml:space="preserve"> _xlfn.STDEV.S(J47:L47)</f>
        <v>0.11789826122551812</v>
      </c>
    </row>
    <row r="48" spans="1:14" ht="29" x14ac:dyDescent="0.35">
      <c r="A48" s="1" t="s">
        <v>36</v>
      </c>
      <c r="B48" s="1">
        <f xml:space="preserve"> -44.11</f>
        <v>-44.11</v>
      </c>
      <c r="C48" s="1">
        <f xml:space="preserve"> -43.57</f>
        <v>-43.57</v>
      </c>
      <c r="D48" s="1">
        <f xml:space="preserve"> -44.37</f>
        <v>-44.37</v>
      </c>
      <c r="E48" s="1">
        <f t="shared" si="16"/>
        <v>-44.016666666666673</v>
      </c>
      <c r="F48" s="1">
        <f t="shared" si="17"/>
        <v>0.40808495847474241</v>
      </c>
      <c r="I48" s="1" t="s">
        <v>36</v>
      </c>
      <c r="J48" s="1">
        <f xml:space="preserve"> 42.98</f>
        <v>42.98</v>
      </c>
      <c r="K48" s="1">
        <f xml:space="preserve"> 42.96</f>
        <v>42.96</v>
      </c>
      <c r="L48" s="1">
        <f xml:space="preserve"> 42.73</f>
        <v>42.73</v>
      </c>
      <c r="M48" s="1">
        <f t="shared" si="18"/>
        <v>42.889999999999993</v>
      </c>
      <c r="N48" s="1">
        <f t="shared" si="19"/>
        <v>0.13892443989449904</v>
      </c>
    </row>
    <row r="49" spans="1:14" ht="29" x14ac:dyDescent="0.35">
      <c r="A49" s="1" t="s">
        <v>37</v>
      </c>
      <c r="B49" s="1">
        <f xml:space="preserve"> -42.99</f>
        <v>-42.99</v>
      </c>
      <c r="C49" s="1">
        <f xml:space="preserve"> -43.37</f>
        <v>-43.37</v>
      </c>
      <c r="D49" s="1">
        <f xml:space="preserve"> -42.93</f>
        <v>-42.93</v>
      </c>
      <c r="E49" s="1">
        <f t="shared" si="16"/>
        <v>-43.096666666666664</v>
      </c>
      <c r="F49" s="1">
        <f t="shared" si="17"/>
        <v>0.23860706890897526</v>
      </c>
      <c r="I49" s="1" t="s">
        <v>37</v>
      </c>
      <c r="J49" s="1">
        <f xml:space="preserve"> 43.29</f>
        <v>43.29</v>
      </c>
      <c r="K49" s="1">
        <f xml:space="preserve"> 43.11</f>
        <v>43.11</v>
      </c>
      <c r="L49" s="1">
        <f xml:space="preserve"> 43.17</f>
        <v>43.17</v>
      </c>
      <c r="M49" s="1">
        <f t="shared" si="18"/>
        <v>43.19</v>
      </c>
      <c r="N49" s="1">
        <f t="shared" si="19"/>
        <v>9.1651513899116396E-2</v>
      </c>
    </row>
    <row r="50" spans="1:14" ht="41.5" customHeight="1" x14ac:dyDescent="0.35">
      <c r="A50" s="1" t="s">
        <v>39</v>
      </c>
      <c r="B50" s="1">
        <f xml:space="preserve"> -37.99</f>
        <v>-37.99</v>
      </c>
      <c r="C50" s="1">
        <f xml:space="preserve"> -38.92</f>
        <v>-38.92</v>
      </c>
      <c r="D50" s="1">
        <f xml:space="preserve"> -39</f>
        <v>-39</v>
      </c>
      <c r="E50" s="1">
        <f t="shared" si="16"/>
        <v>-38.636666666666663</v>
      </c>
      <c r="F50" s="1">
        <f t="shared" si="17"/>
        <v>0.5614564393907443</v>
      </c>
      <c r="I50" s="1" t="s">
        <v>39</v>
      </c>
      <c r="J50" s="1">
        <f xml:space="preserve"> 41.79</f>
        <v>41.79</v>
      </c>
      <c r="K50" s="1">
        <f xml:space="preserve"> 41.5</f>
        <v>41.5</v>
      </c>
      <c r="L50" s="1">
        <f xml:space="preserve"> 41.13</f>
        <v>41.13</v>
      </c>
      <c r="M50" s="1">
        <f t="shared" si="18"/>
        <v>41.473333333333329</v>
      </c>
      <c r="N50" s="1">
        <f t="shared" si="19"/>
        <v>0.33080709383768087</v>
      </c>
    </row>
    <row r="51" spans="1:14" ht="29" x14ac:dyDescent="0.35">
      <c r="A51" s="1" t="s">
        <v>38</v>
      </c>
      <c r="B51" s="1">
        <f xml:space="preserve"> -39.39</f>
        <v>-39.39</v>
      </c>
      <c r="C51" s="1">
        <f xml:space="preserve"> -39.09</f>
        <v>-39.090000000000003</v>
      </c>
      <c r="D51" s="1">
        <f xml:space="preserve"> -39.47</f>
        <v>-39.47</v>
      </c>
      <c r="E51" s="1">
        <f t="shared" si="16"/>
        <v>-39.31666666666667</v>
      </c>
      <c r="F51" s="1">
        <f t="shared" si="17"/>
        <v>0.200333056017554</v>
      </c>
      <c r="I51" s="1" t="s">
        <v>38</v>
      </c>
      <c r="J51" s="1">
        <f xml:space="preserve"> 42.02</f>
        <v>42.02</v>
      </c>
      <c r="K51" s="1">
        <f xml:space="preserve"> 42.11</f>
        <v>42.11</v>
      </c>
      <c r="L51" s="1">
        <f xml:space="preserve"> 42.04</f>
        <v>42.04</v>
      </c>
      <c r="M51" s="1">
        <f t="shared" si="18"/>
        <v>42.056666666666665</v>
      </c>
      <c r="N51" s="1">
        <f t="shared" si="19"/>
        <v>4.7258156262524699E-2</v>
      </c>
    </row>
    <row r="53" spans="1:14" x14ac:dyDescent="0.35">
      <c r="A53" s="3"/>
      <c r="I53" s="3"/>
    </row>
    <row r="54" spans="1:14" x14ac:dyDescent="0.35">
      <c r="A54" s="3" t="s">
        <v>40</v>
      </c>
      <c r="B54" s="1" t="s">
        <v>0</v>
      </c>
      <c r="C54" s="1" t="s">
        <v>1</v>
      </c>
      <c r="D54" s="1" t="s">
        <v>2</v>
      </c>
      <c r="E54" s="1" t="s">
        <v>3</v>
      </c>
      <c r="F54" s="1" t="s">
        <v>4</v>
      </c>
      <c r="I54" s="3" t="s">
        <v>40</v>
      </c>
      <c r="J54" s="1" t="s">
        <v>0</v>
      </c>
      <c r="K54" s="1" t="s">
        <v>1</v>
      </c>
      <c r="L54" s="1" t="s">
        <v>2</v>
      </c>
      <c r="M54" s="1" t="s">
        <v>3</v>
      </c>
      <c r="N54" s="1" t="s">
        <v>4</v>
      </c>
    </row>
    <row r="55" spans="1:14" ht="29" x14ac:dyDescent="0.35">
      <c r="A55" s="1" t="s">
        <v>41</v>
      </c>
      <c r="B55" s="1">
        <f xml:space="preserve"> -37.06</f>
        <v>-37.06</v>
      </c>
      <c r="C55" s="1">
        <f xml:space="preserve"> -36.8</f>
        <v>-36.799999999999997</v>
      </c>
      <c r="D55" s="1">
        <f xml:space="preserve"> -37.58</f>
        <v>-37.58</v>
      </c>
      <c r="E55" s="1">
        <f xml:space="preserve"> AVERAGE(B55:D55)</f>
        <v>-37.146666666666668</v>
      </c>
      <c r="F55" s="1">
        <f xml:space="preserve"> _xlfn.STDEV.S(B55:D55)</f>
        <v>0.39715656022950618</v>
      </c>
      <c r="I55" s="1" t="s">
        <v>41</v>
      </c>
      <c r="J55" s="1">
        <f xml:space="preserve"> 43.76</f>
        <v>43.76</v>
      </c>
      <c r="K55" s="1">
        <f xml:space="preserve"> 43.69</f>
        <v>43.69</v>
      </c>
      <c r="L55" s="1">
        <f xml:space="preserve"> 43.63</f>
        <v>43.63</v>
      </c>
      <c r="M55" s="1">
        <f xml:space="preserve"> AVERAGE(J55:L55)</f>
        <v>43.693333333333328</v>
      </c>
      <c r="N55" s="1">
        <f xml:space="preserve"> _xlfn.STDEV.S(J55:L55)</f>
        <v>6.5064070986474917E-2</v>
      </c>
    </row>
    <row r="56" spans="1:14" ht="29" x14ac:dyDescent="0.35">
      <c r="A56" s="1" t="s">
        <v>42</v>
      </c>
      <c r="B56" s="1">
        <f xml:space="preserve"> -38.42</f>
        <v>-38.42</v>
      </c>
      <c r="C56" s="1">
        <f xml:space="preserve"> -37.82</f>
        <v>-37.82</v>
      </c>
      <c r="D56" s="1">
        <f xml:space="preserve"> -37.93</f>
        <v>-37.93</v>
      </c>
      <c r="E56" s="1">
        <f t="shared" ref="E56:E60" si="20" xml:space="preserve"> AVERAGE(B56:D56)</f>
        <v>-38.056666666666672</v>
      </c>
      <c r="F56" s="1">
        <f t="shared" ref="F56:F60" si="21" xml:space="preserve"> _xlfn.STDEV.S(B56:D56)</f>
        <v>0.31942656954820448</v>
      </c>
      <c r="I56" s="1" t="s">
        <v>42</v>
      </c>
      <c r="J56" s="1">
        <f xml:space="preserve"> 43.58</f>
        <v>43.58</v>
      </c>
      <c r="K56" s="1">
        <f xml:space="preserve"> 43.58</f>
        <v>43.58</v>
      </c>
      <c r="L56" s="1">
        <f xml:space="preserve"> 43.64</f>
        <v>43.64</v>
      </c>
      <c r="M56" s="1">
        <f t="shared" ref="M56:M60" si="22" xml:space="preserve"> AVERAGE(J56:L56)</f>
        <v>43.6</v>
      </c>
      <c r="N56" s="1">
        <f t="shared" ref="N56:N60" si="23" xml:space="preserve"> _xlfn.STDEV.S(J56:L56)</f>
        <v>3.4641016151378858E-2</v>
      </c>
    </row>
    <row r="57" spans="1:14" ht="29" x14ac:dyDescent="0.35">
      <c r="A57" s="1" t="s">
        <v>43</v>
      </c>
      <c r="B57" s="1">
        <f xml:space="preserve"> -38.93</f>
        <v>-38.93</v>
      </c>
      <c r="D57" s="1">
        <f xml:space="preserve"> -39.1</f>
        <v>-39.1</v>
      </c>
      <c r="E57" s="1">
        <f t="shared" si="20"/>
        <v>-39.015000000000001</v>
      </c>
      <c r="F57" s="1">
        <f t="shared" si="21"/>
        <v>0.12020815280171429</v>
      </c>
      <c r="I57" s="1" t="s">
        <v>43</v>
      </c>
      <c r="J57" s="1">
        <f xml:space="preserve"> 41.83</f>
        <v>41.83</v>
      </c>
      <c r="K57" s="1">
        <f xml:space="preserve"> 42.01</f>
        <v>42.01</v>
      </c>
      <c r="L57" s="1">
        <f xml:space="preserve"> 41.88</f>
        <v>41.88</v>
      </c>
      <c r="M57" s="1">
        <f t="shared" si="22"/>
        <v>41.906666666666666</v>
      </c>
      <c r="N57" s="1">
        <f t="shared" si="23"/>
        <v>9.2915732431774922E-2</v>
      </c>
    </row>
    <row r="58" spans="1:14" ht="29" x14ac:dyDescent="0.35">
      <c r="A58" s="1" t="s">
        <v>44</v>
      </c>
      <c r="B58" s="1">
        <f xml:space="preserve"> -42.11</f>
        <v>-42.11</v>
      </c>
      <c r="C58" s="1">
        <f xml:space="preserve"> -44.43</f>
        <v>-44.43</v>
      </c>
      <c r="D58" s="1">
        <f xml:space="preserve"> -42.98</f>
        <v>-42.98</v>
      </c>
      <c r="E58" s="1">
        <f t="shared" si="20"/>
        <v>-43.173333333333325</v>
      </c>
      <c r="F58" s="1">
        <f t="shared" si="21"/>
        <v>1.1720210464549405</v>
      </c>
      <c r="I58" s="1" t="s">
        <v>44</v>
      </c>
      <c r="J58" s="1">
        <f xml:space="preserve"> 43.08</f>
        <v>43.08</v>
      </c>
      <c r="K58" s="1">
        <f xml:space="preserve"> 42.72</f>
        <v>42.72</v>
      </c>
      <c r="L58" s="1">
        <f xml:space="preserve"> 43.24</f>
        <v>43.24</v>
      </c>
      <c r="M58" s="1">
        <f t="shared" si="22"/>
        <v>43.013333333333328</v>
      </c>
      <c r="N58" s="1">
        <f t="shared" si="23"/>
        <v>0.26633312473917697</v>
      </c>
    </row>
    <row r="59" spans="1:14" ht="29" x14ac:dyDescent="0.35">
      <c r="A59" s="1" t="s">
        <v>45</v>
      </c>
      <c r="B59" s="1">
        <f xml:space="preserve"> -42.52</f>
        <v>-42.52</v>
      </c>
      <c r="C59" s="1">
        <f xml:space="preserve"> -42.59</f>
        <v>-42.59</v>
      </c>
      <c r="D59" s="1">
        <f xml:space="preserve"> -42.26</f>
        <v>-42.26</v>
      </c>
      <c r="E59" s="1">
        <f t="shared" si="20"/>
        <v>-42.456666666666671</v>
      </c>
      <c r="F59" s="1">
        <f t="shared" si="21"/>
        <v>0.17387735140993602</v>
      </c>
      <c r="I59" s="1" t="s">
        <v>45</v>
      </c>
      <c r="J59" s="1">
        <f xml:space="preserve"> 43.28</f>
        <v>43.28</v>
      </c>
      <c r="K59" s="1">
        <f xml:space="preserve"> 43.24</f>
        <v>43.24</v>
      </c>
      <c r="L59" s="1">
        <f xml:space="preserve"> 43.32</f>
        <v>43.32</v>
      </c>
      <c r="M59" s="1">
        <f t="shared" si="22"/>
        <v>43.28</v>
      </c>
      <c r="N59" s="1">
        <f t="shared" si="23"/>
        <v>3.9999999999999147E-2</v>
      </c>
    </row>
    <row r="60" spans="1:14" ht="29" x14ac:dyDescent="0.35">
      <c r="A60" s="1" t="s">
        <v>46</v>
      </c>
      <c r="B60" s="1">
        <f xml:space="preserve"> -39.29</f>
        <v>-39.29</v>
      </c>
      <c r="C60" s="1">
        <f xml:space="preserve"> -39.49</f>
        <v>-39.49</v>
      </c>
      <c r="D60" s="1">
        <f xml:space="preserve"> -39.41</f>
        <v>-39.409999999999997</v>
      </c>
      <c r="E60" s="1">
        <f t="shared" si="20"/>
        <v>-39.396666666666668</v>
      </c>
      <c r="F60" s="1">
        <f t="shared" si="21"/>
        <v>0.10066445913694448</v>
      </c>
      <c r="I60" s="1" t="s">
        <v>46</v>
      </c>
      <c r="J60" s="1">
        <f xml:space="preserve"> 41.17</f>
        <v>41.17</v>
      </c>
      <c r="K60" s="1">
        <f xml:space="preserve"> 41.43</f>
        <v>41.43</v>
      </c>
      <c r="L60" s="1">
        <f xml:space="preserve"> 41.48</f>
        <v>41.48</v>
      </c>
      <c r="M60" s="1">
        <f t="shared" si="22"/>
        <v>41.359999999999992</v>
      </c>
      <c r="N60" s="1">
        <f t="shared" si="23"/>
        <v>0.16643316977093023</v>
      </c>
    </row>
    <row r="62" spans="1:14" x14ac:dyDescent="0.35">
      <c r="A62" s="3" t="s">
        <v>54</v>
      </c>
      <c r="B62" s="1" t="s">
        <v>0</v>
      </c>
      <c r="C62" s="1" t="s">
        <v>1</v>
      </c>
      <c r="D62" s="1" t="s">
        <v>2</v>
      </c>
      <c r="E62" s="1" t="s">
        <v>3</v>
      </c>
      <c r="F62" s="1" t="s">
        <v>4</v>
      </c>
      <c r="I62" s="3" t="s">
        <v>54</v>
      </c>
      <c r="J62" s="1" t="s">
        <v>0</v>
      </c>
      <c r="K62" s="1" t="s">
        <v>1</v>
      </c>
      <c r="L62" s="1" t="s">
        <v>2</v>
      </c>
      <c r="M62" s="1" t="s">
        <v>3</v>
      </c>
      <c r="N62" s="1" t="s">
        <v>4</v>
      </c>
    </row>
    <row r="63" spans="1:14" ht="29" x14ac:dyDescent="0.35">
      <c r="A63" s="1" t="s">
        <v>55</v>
      </c>
      <c r="B63" s="1">
        <f xml:space="preserve"> -37.58</f>
        <v>-37.58</v>
      </c>
      <c r="C63" s="1">
        <f xml:space="preserve"> -37.87</f>
        <v>-37.869999999999997</v>
      </c>
      <c r="D63" s="1">
        <f xml:space="preserve"> -37.49</f>
        <v>-37.49</v>
      </c>
      <c r="E63" s="1">
        <f xml:space="preserve"> AVERAGE(B63:D63)</f>
        <v>-37.646666666666668</v>
      </c>
      <c r="F63" s="1">
        <f xml:space="preserve"> _xlfn.STDEV.S(B63:D63)</f>
        <v>0.19857828011475115</v>
      </c>
      <c r="I63" s="1" t="s">
        <v>55</v>
      </c>
      <c r="J63" s="1">
        <f xml:space="preserve"> 43.87</f>
        <v>43.87</v>
      </c>
      <c r="K63" s="1">
        <f xml:space="preserve"> 43.85</f>
        <v>43.85</v>
      </c>
      <c r="L63" s="1">
        <f xml:space="preserve"> 43.88</f>
        <v>43.88</v>
      </c>
      <c r="M63" s="1">
        <f xml:space="preserve"> AVERAGE(J63:L63)</f>
        <v>43.866666666666667</v>
      </c>
      <c r="N63" s="1">
        <f xml:space="preserve"> _xlfn.STDEV.S(J63:L63)</f>
        <v>1.5275252316519527E-2</v>
      </c>
    </row>
    <row r="64" spans="1:14" ht="29" x14ac:dyDescent="0.35">
      <c r="A64" s="1" t="s">
        <v>56</v>
      </c>
      <c r="B64" s="1">
        <f xml:space="preserve"> -38.39</f>
        <v>-38.39</v>
      </c>
      <c r="C64" s="1">
        <f xml:space="preserve"> -37.89</f>
        <v>-37.89</v>
      </c>
      <c r="D64" s="1">
        <f xml:space="preserve"> -38.32</f>
        <v>-38.32</v>
      </c>
      <c r="E64" s="1">
        <f t="shared" ref="E64:E68" si="24" xml:space="preserve"> AVERAGE(B64:D64)</f>
        <v>-38.199999999999996</v>
      </c>
      <c r="F64" s="1">
        <f t="shared" ref="F64:F68" si="25" xml:space="preserve"> _xlfn.STDEV.S(B64:D64)</f>
        <v>0.27073972741361763</v>
      </c>
      <c r="I64" s="1" t="s">
        <v>56</v>
      </c>
      <c r="J64" s="1">
        <f xml:space="preserve"> 43.5</f>
        <v>43.5</v>
      </c>
      <c r="K64" s="1">
        <f xml:space="preserve"> 43.63</f>
        <v>43.63</v>
      </c>
      <c r="L64" s="1">
        <f xml:space="preserve"> 43.7</f>
        <v>43.7</v>
      </c>
      <c r="M64" s="1">
        <f t="shared" ref="M64:M68" si="26" xml:space="preserve"> AVERAGE(J64:L64)</f>
        <v>43.609999999999992</v>
      </c>
      <c r="N64" s="1">
        <f t="shared" ref="N64:N68" si="27" xml:space="preserve"> _xlfn.STDEV.S(J64:L64)</f>
        <v>0.1014889156509237</v>
      </c>
    </row>
    <row r="65" spans="1:14" ht="29" x14ac:dyDescent="0.35">
      <c r="A65" s="1" t="s">
        <v>57</v>
      </c>
      <c r="B65" s="1">
        <f xml:space="preserve"> -44.99</f>
        <v>-44.99</v>
      </c>
      <c r="C65" s="1">
        <f xml:space="preserve"> -43.49</f>
        <v>-43.49</v>
      </c>
      <c r="D65" s="1">
        <f xml:space="preserve"> -43.59</f>
        <v>-43.59</v>
      </c>
      <c r="E65" s="1">
        <f t="shared" si="24"/>
        <v>-44.023333333333333</v>
      </c>
      <c r="F65" s="1">
        <f t="shared" si="25"/>
        <v>0.83864970836060793</v>
      </c>
      <c r="I65" s="1" t="s">
        <v>57</v>
      </c>
      <c r="J65" s="1">
        <f xml:space="preserve"> 43.07</f>
        <v>43.07</v>
      </c>
      <c r="K65" s="1">
        <f xml:space="preserve"> 43.31</f>
        <v>43.31</v>
      </c>
      <c r="L65" s="1">
        <f xml:space="preserve"> 43.36</f>
        <v>43.36</v>
      </c>
      <c r="M65" s="1">
        <f t="shared" si="26"/>
        <v>43.24666666666667</v>
      </c>
      <c r="N65" s="1">
        <f t="shared" si="27"/>
        <v>0.15502687938977991</v>
      </c>
    </row>
    <row r="66" spans="1:14" ht="29" x14ac:dyDescent="0.35">
      <c r="A66" s="1" t="s">
        <v>58</v>
      </c>
      <c r="B66" s="1">
        <f xml:space="preserve"> -44.26</f>
        <v>-44.26</v>
      </c>
      <c r="C66" s="1">
        <f xml:space="preserve"> -44.02</f>
        <v>-44.02</v>
      </c>
      <c r="D66" s="1">
        <f xml:space="preserve"> -44.9</f>
        <v>-44.9</v>
      </c>
      <c r="E66" s="1">
        <f t="shared" si="24"/>
        <v>-44.393333333333338</v>
      </c>
      <c r="F66" s="1">
        <f t="shared" si="25"/>
        <v>0.45489925624618432</v>
      </c>
      <c r="I66" s="1" t="s">
        <v>58</v>
      </c>
      <c r="J66" s="1">
        <f xml:space="preserve"> 42.83</f>
        <v>42.83</v>
      </c>
      <c r="K66" s="1">
        <f xml:space="preserve"> 42.86</f>
        <v>42.86</v>
      </c>
      <c r="L66" s="1">
        <f xml:space="preserve"> 42.77</f>
        <v>42.77</v>
      </c>
      <c r="M66" s="1">
        <f t="shared" si="26"/>
        <v>42.82</v>
      </c>
      <c r="N66" s="1">
        <f t="shared" si="27"/>
        <v>4.5825756949556262E-2</v>
      </c>
    </row>
    <row r="67" spans="1:14" ht="29" x14ac:dyDescent="0.35">
      <c r="A67" s="1" t="s">
        <v>59</v>
      </c>
      <c r="B67" s="1">
        <f xml:space="preserve"> -38.82</f>
        <v>-38.82</v>
      </c>
      <c r="C67" s="1">
        <f xml:space="preserve"> -37.91</f>
        <v>-37.909999999999997</v>
      </c>
      <c r="D67" s="1">
        <f xml:space="preserve"> -38.55</f>
        <v>-38.549999999999997</v>
      </c>
      <c r="E67" s="1">
        <f t="shared" si="24"/>
        <v>-38.426666666666662</v>
      </c>
      <c r="F67" s="1">
        <f t="shared" si="25"/>
        <v>0.46736851983561628</v>
      </c>
      <c r="I67" s="1" t="s">
        <v>59</v>
      </c>
      <c r="J67" s="1">
        <f xml:space="preserve"> 42.2</f>
        <v>42.2</v>
      </c>
      <c r="K67" s="1">
        <f xml:space="preserve"> 42.27</f>
        <v>42.27</v>
      </c>
      <c r="L67" s="1">
        <f xml:space="preserve"> 42.01</f>
        <v>42.01</v>
      </c>
      <c r="M67" s="1">
        <f t="shared" si="26"/>
        <v>42.16</v>
      </c>
      <c r="N67" s="1">
        <f t="shared" si="27"/>
        <v>0.13453624047073992</v>
      </c>
    </row>
    <row r="68" spans="1:14" ht="29" x14ac:dyDescent="0.35">
      <c r="A68" s="1" t="s">
        <v>60</v>
      </c>
      <c r="B68" s="1">
        <f xml:space="preserve"> -40.11</f>
        <v>-40.11</v>
      </c>
      <c r="C68" s="1">
        <f xml:space="preserve"> -39.18</f>
        <v>-39.18</v>
      </c>
      <c r="D68" s="1">
        <f xml:space="preserve"> -38.59</f>
        <v>-38.590000000000003</v>
      </c>
      <c r="E68" s="1">
        <f t="shared" si="24"/>
        <v>-39.293333333333329</v>
      </c>
      <c r="F68" s="1">
        <f t="shared" si="25"/>
        <v>0.76631151194101899</v>
      </c>
      <c r="I68" s="1" t="s">
        <v>60</v>
      </c>
      <c r="J68" s="1">
        <f xml:space="preserve"> 40.94</f>
        <v>40.94</v>
      </c>
      <c r="K68" s="1">
        <f xml:space="preserve"> 41.32</f>
        <v>41.32</v>
      </c>
      <c r="L68" s="1">
        <f xml:space="preserve"> 41.19</f>
        <v>41.19</v>
      </c>
      <c r="M68" s="1">
        <f t="shared" si="26"/>
        <v>41.15</v>
      </c>
      <c r="N68" s="1">
        <f t="shared" si="27"/>
        <v>0.19313207915828079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Liu</dc:creator>
  <cp:lastModifiedBy>Alan Liu</cp:lastModifiedBy>
  <dcterms:created xsi:type="dcterms:W3CDTF">2015-06-05T18:17:20Z</dcterms:created>
  <dcterms:modified xsi:type="dcterms:W3CDTF">2024-04-22T23:04:39Z</dcterms:modified>
</cp:coreProperties>
</file>